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2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3.xml" ContentType="application/vnd.openxmlformats-officedocument.drawing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/Users/thomas.gladel/Documents/Seminare/Deutsch/0_Grundkurs_Videosicherheitstechnik/Ressources/"/>
    </mc:Choice>
  </mc:AlternateContent>
  <xr:revisionPtr revIDLastSave="0" documentId="13_ncr:1_{A27BB1DC-231B-8346-A0E1-1BD64395C07A}" xr6:coauthVersionLast="47" xr6:coauthVersionMax="47" xr10:uidLastSave="{00000000-0000-0000-0000-000000000000}"/>
  <bookViews>
    <workbookView xWindow="-38400" yWindow="-5500" windowWidth="38400" windowHeight="23500" xr2:uid="{7A605080-6273-7946-9207-A9741405D594}"/>
  </bookViews>
  <sheets>
    <sheet name="IEC 62676-4 2024" sheetId="1" r:id="rId1"/>
    <sheet name="ActivitySensorONE" sheetId="2" r:id="rId2"/>
    <sheet name="License Plate Recognition" sheetId="4" r:id="rId3"/>
  </sheets>
  <definedNames>
    <definedName name="_xlnm._FilterDatabase" localSheetId="1" hidden="1">ActivitySensorONE!$M$1</definedName>
    <definedName name="Ch">'License Plate Recognition'!$C$6</definedName>
    <definedName name="LG">ActivitySensorONE!$N$1</definedName>
    <definedName name="Pmax">'License Plate Recognition'!$C$5</definedName>
    <definedName name="Pmin">'License Plate Recognition'!$C$4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2" l="1"/>
  <c r="G31" i="4"/>
  <c r="I38" i="4"/>
  <c r="H38" i="4"/>
  <c r="H37" i="4"/>
  <c r="B35" i="4"/>
  <c r="B34" i="4"/>
  <c r="G35" i="4"/>
  <c r="G34" i="4"/>
  <c r="G33" i="4"/>
  <c r="G29" i="4"/>
  <c r="G28" i="4"/>
  <c r="G27" i="4"/>
  <c r="C37" i="4"/>
  <c r="D38" i="4"/>
  <c r="C38" i="4"/>
  <c r="B33" i="4"/>
  <c r="B31" i="4"/>
  <c r="B29" i="4"/>
  <c r="B28" i="4"/>
  <c r="B27" i="4"/>
  <c r="B15" i="4"/>
  <c r="D14" i="4"/>
  <c r="C14" i="4"/>
  <c r="B11" i="4"/>
  <c r="B10" i="4"/>
  <c r="B9" i="4"/>
  <c r="B8" i="4"/>
  <c r="D5" i="4"/>
  <c r="D4" i="4"/>
  <c r="B6" i="4"/>
  <c r="B5" i="4"/>
  <c r="B4" i="4"/>
  <c r="B2" i="4"/>
  <c r="B1" i="4"/>
  <c r="B44" i="2"/>
  <c r="B43" i="2"/>
  <c r="B42" i="2"/>
  <c r="B41" i="2"/>
  <c r="B40" i="2"/>
  <c r="B35" i="2"/>
  <c r="I34" i="2"/>
  <c r="H34" i="2"/>
  <c r="G34" i="2"/>
  <c r="F34" i="2"/>
  <c r="E34" i="2"/>
  <c r="G33" i="2"/>
  <c r="B32" i="2"/>
  <c r="B31" i="2"/>
  <c r="B29" i="2"/>
  <c r="B28" i="2"/>
  <c r="B27" i="2"/>
  <c r="B24" i="2"/>
  <c r="K19" i="2"/>
  <c r="Q18" i="2"/>
  <c r="P18" i="2"/>
  <c r="O18" i="2"/>
  <c r="N18" i="2"/>
  <c r="M18" i="2"/>
  <c r="O17" i="2"/>
  <c r="K15" i="2"/>
  <c r="K14" i="2"/>
  <c r="K13" i="2"/>
  <c r="K11" i="2"/>
  <c r="K9" i="2"/>
  <c r="K8" i="2"/>
  <c r="B19" i="2"/>
  <c r="H18" i="2"/>
  <c r="G18" i="2"/>
  <c r="F18" i="2"/>
  <c r="E18" i="2"/>
  <c r="D18" i="2"/>
  <c r="F17" i="2"/>
  <c r="B15" i="2"/>
  <c r="B14" i="2"/>
  <c r="B13" i="2"/>
  <c r="B11" i="2"/>
  <c r="B9" i="2"/>
  <c r="B8" i="2"/>
  <c r="B7" i="2"/>
  <c r="I48" i="1"/>
  <c r="H48" i="1"/>
  <c r="G48" i="1"/>
  <c r="E48" i="1"/>
  <c r="D48" i="1"/>
  <c r="C48" i="1"/>
  <c r="B50" i="1"/>
  <c r="B49" i="1"/>
  <c r="B46" i="1"/>
  <c r="B43" i="1"/>
  <c r="C45" i="1"/>
  <c r="E45" i="1"/>
  <c r="F45" i="1"/>
  <c r="G45" i="1"/>
  <c r="H45" i="1"/>
  <c r="I45" i="1"/>
  <c r="J45" i="1"/>
  <c r="I23" i="1"/>
  <c r="H23" i="1"/>
  <c r="G23" i="1"/>
  <c r="F23" i="1"/>
  <c r="E23" i="1"/>
  <c r="D23" i="1"/>
  <c r="C23" i="1"/>
  <c r="B24" i="1"/>
  <c r="B17" i="1"/>
  <c r="B20" i="1"/>
  <c r="B19" i="1"/>
  <c r="B18" i="1"/>
  <c r="I12" i="1"/>
  <c r="H12" i="1"/>
  <c r="G12" i="1"/>
  <c r="F12" i="1"/>
  <c r="E12" i="1"/>
  <c r="D12" i="1"/>
  <c r="C12" i="1"/>
  <c r="F10" i="1"/>
  <c r="C10" i="1"/>
  <c r="F9" i="1"/>
  <c r="C9" i="1"/>
  <c r="B4" i="1"/>
  <c r="B2" i="1"/>
  <c r="B1" i="2"/>
  <c r="E31" i="2" a="1"/>
  <c r="E31" i="2" s="1"/>
  <c r="E32" i="2" a="1"/>
  <c r="E32" i="2" s="1"/>
  <c r="C40" i="1" a="1"/>
  <c r="C40" i="1" s="1"/>
  <c r="F36" i="1" s="1"/>
  <c r="H35" i="4"/>
  <c r="H34" i="4"/>
  <c r="C35" i="4"/>
  <c r="C34" i="4"/>
  <c r="C24" i="4" a="1"/>
  <c r="C24" i="4" s="1"/>
  <c r="O15" i="2"/>
  <c r="O14" i="2"/>
  <c r="F15" i="2"/>
  <c r="F14" i="2"/>
  <c r="I46" i="4" l="1"/>
  <c r="H45" i="4"/>
  <c r="H44" i="4"/>
  <c r="I43" i="4"/>
  <c r="I42" i="4"/>
  <c r="H41" i="4"/>
  <c r="H40" i="4"/>
  <c r="H46" i="4"/>
  <c r="I45" i="4"/>
  <c r="I44" i="4"/>
  <c r="H43" i="4"/>
  <c r="H42" i="4"/>
  <c r="I40" i="4"/>
  <c r="I41" i="4"/>
  <c r="D44" i="4"/>
  <c r="D42" i="4"/>
  <c r="D46" i="4"/>
  <c r="D45" i="4"/>
  <c r="C44" i="4"/>
  <c r="C43" i="4"/>
  <c r="C42" i="4"/>
  <c r="C41" i="4"/>
  <c r="D41" i="4"/>
  <c r="D43" i="4"/>
  <c r="C45" i="4"/>
  <c r="C46" i="4"/>
  <c r="D40" i="4"/>
  <c r="C40" i="4"/>
  <c r="D20" i="4"/>
  <c r="D16" i="4"/>
  <c r="D19" i="4"/>
  <c r="C20" i="4"/>
  <c r="D17" i="4"/>
  <c r="C17" i="4"/>
  <c r="C16" i="4"/>
  <c r="C19" i="4"/>
  <c r="D18" i="4"/>
  <c r="C18" i="4"/>
  <c r="I35" i="2"/>
  <c r="H35" i="2"/>
  <c r="G35" i="2"/>
  <c r="E35" i="2"/>
  <c r="F35" i="2"/>
  <c r="Q19" i="2"/>
  <c r="O19" i="2"/>
  <c r="P19" i="2"/>
  <c r="D19" i="2"/>
  <c r="N19" i="2"/>
  <c r="M19" i="2"/>
  <c r="H19" i="2"/>
  <c r="G19" i="2"/>
  <c r="F19" i="2"/>
  <c r="E19" i="2"/>
  <c r="I26" i="1"/>
  <c r="C25" i="1"/>
  <c r="C29" i="1"/>
  <c r="F28" i="1"/>
  <c r="G27" i="1"/>
  <c r="H26" i="1"/>
  <c r="E30" i="1"/>
  <c r="F29" i="1"/>
  <c r="G28" i="1"/>
  <c r="H27" i="1"/>
  <c r="F30" i="1"/>
  <c r="G29" i="1"/>
  <c r="H28" i="1"/>
  <c r="I27" i="1"/>
  <c r="G30" i="1"/>
  <c r="H29" i="1"/>
  <c r="I28" i="1"/>
  <c r="C26" i="1"/>
  <c r="D25" i="1"/>
  <c r="E25" i="1"/>
  <c r="D28" i="1"/>
  <c r="E27" i="1"/>
  <c r="F26" i="1"/>
  <c r="C30" i="1"/>
  <c r="D29" i="1"/>
  <c r="E28" i="1"/>
  <c r="F27" i="1"/>
  <c r="G26" i="1"/>
  <c r="D30" i="1"/>
  <c r="E29" i="1"/>
  <c r="H30" i="1"/>
  <c r="I29" i="1"/>
  <c r="C27" i="1"/>
  <c r="D26" i="1"/>
  <c r="I30" i="1"/>
  <c r="C28" i="1"/>
  <c r="D27" i="1"/>
  <c r="E26" i="1"/>
  <c r="F25" i="1"/>
  <c r="G25" i="1"/>
  <c r="H25" i="1"/>
  <c r="I25" i="1"/>
  <c r="I32" i="1"/>
  <c r="H33" i="1"/>
  <c r="I33" i="1"/>
  <c r="C31" i="1"/>
  <c r="D31" i="1"/>
  <c r="E31" i="1"/>
  <c r="F31" i="1"/>
  <c r="G31" i="1"/>
  <c r="H31" i="1"/>
  <c r="C32" i="1"/>
  <c r="C33" i="1"/>
  <c r="D32" i="1"/>
  <c r="D33" i="1"/>
  <c r="E32" i="1"/>
  <c r="E33" i="1"/>
  <c r="F32" i="1"/>
  <c r="F33" i="1"/>
  <c r="G32" i="1"/>
  <c r="G33" i="1"/>
  <c r="H32" i="1"/>
  <c r="I31" i="1"/>
  <c r="I35" i="1"/>
  <c r="C34" i="1"/>
  <c r="C35" i="1"/>
  <c r="D34" i="1"/>
  <c r="F34" i="1"/>
  <c r="G34" i="1"/>
  <c r="H34" i="1"/>
  <c r="D35" i="1"/>
  <c r="E34" i="1"/>
  <c r="E35" i="1"/>
  <c r="F35" i="1"/>
  <c r="G35" i="1"/>
  <c r="H35" i="1"/>
  <c r="I34" i="1"/>
  <c r="E36" i="1"/>
  <c r="G36" i="1"/>
  <c r="H36" i="1"/>
  <c r="I36" i="1"/>
  <c r="D36" i="1"/>
  <c r="C3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<sst xmlns="http://schemas.openxmlformats.org/spreadsheetml/2006/main" count="129" uniqueCount="59">
  <si>
    <t>DIN EN IEC 62676-4:2024</t>
  </si>
  <si>
    <t>Pixel/Meter</t>
  </si>
  <si>
    <t>120°x60°</t>
  </si>
  <si>
    <t>95°x50°</t>
  </si>
  <si>
    <t>60°x33°</t>
  </si>
  <si>
    <t>45°x25°</t>
  </si>
  <si>
    <t>B150</t>
  </si>
  <si>
    <t>30°x17°</t>
  </si>
  <si>
    <t>B280</t>
  </si>
  <si>
    <t>15°x8.5°</t>
  </si>
  <si>
    <t>B100</t>
  </si>
  <si>
    <t>B080</t>
  </si>
  <si>
    <t>B050</t>
  </si>
  <si>
    <t>B040</t>
  </si>
  <si>
    <t>Tele</t>
  </si>
  <si>
    <t>Wide</t>
  </si>
  <si>
    <t>IEC 62676-4:2024</t>
  </si>
  <si>
    <t>IEC 62676-4:2015</t>
  </si>
  <si>
    <t>&lt;80mm/Pixel</t>
  </si>
  <si>
    <t>&lt;40mm/Pixel</t>
  </si>
  <si>
    <t>&lt;16mm/Pixel</t>
  </si>
  <si>
    <t>&lt;8mm/Pixel</t>
  </si>
  <si>
    <t>&lt;4mm/Pixel</t>
  </si>
  <si>
    <t>&lt;1mm/Pixel</t>
  </si>
  <si>
    <t>H:42°-15°
V:22.8°-8.4°</t>
  </si>
  <si>
    <t>H: 112°-47.5°
V: 58°-26.6°</t>
  </si>
  <si>
    <t>CIF (4:3) (320x240)</t>
  </si>
  <si>
    <t>nHD (16:9) (640x360)</t>
  </si>
  <si>
    <t>VGA (4:3) (640x480)</t>
  </si>
  <si>
    <t>SVGA (4:3) (800x600)</t>
  </si>
  <si>
    <t>XGA (4:3) (1024x768)</t>
  </si>
  <si>
    <t>HD (16:9) (1280x720)</t>
  </si>
  <si>
    <t>Mega (4:3) (1280x960)</t>
  </si>
  <si>
    <t>FullHD (16:9) (1920x1080)</t>
  </si>
  <si>
    <t>QXGA (4:3) (2048x1536)</t>
  </si>
  <si>
    <t>4MP (16:9) (2688x1512)</t>
  </si>
  <si>
    <t>5MP (4:3) (2592x1944)</t>
  </si>
  <si>
    <t>UltraHD (4K/8MP) (16:9) (3840x2160)</t>
  </si>
  <si>
    <t>4 mm</t>
  </si>
  <si>
    <t>5 mm</t>
  </si>
  <si>
    <t>8 mm</t>
  </si>
  <si>
    <t>10 mm</t>
  </si>
  <si>
    <t>15 mm</t>
  </si>
  <si>
    <t>28 mm</t>
  </si>
  <si>
    <t>°</t>
  </si>
  <si>
    <t>%</t>
  </si>
  <si>
    <t>DEUTSCH</t>
  </si>
  <si>
    <t>Language:</t>
  </si>
  <si>
    <t>m</t>
  </si>
  <si>
    <t>B500</t>
  </si>
  <si>
    <t>8°x4.5°</t>
  </si>
  <si>
    <t>50 mm</t>
  </si>
  <si>
    <t>VGA (4:3) (640 x 480)</t>
  </si>
  <si>
    <t>SD (16:9) (720 x 480)</t>
  </si>
  <si>
    <t>SXGA  (4:3) (1280 x 1024)</t>
  </si>
  <si>
    <t>8°x4,5°</t>
  </si>
  <si>
    <t xml:space="preserve">Language: </t>
  </si>
  <si>
    <t xml:space="preserve"> 10 mm - 28 mm</t>
  </si>
  <si>
    <t>4 mm - 10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</si>
</sst>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°"/>
  </numFmts>
  <fonts count="15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6"/>
      <color theme="1"/>
      <name val="Aptos Narrow"/>
      <scheme val="minor"/>
    </font>
    <font>
      <sz val="14"/>
      <color theme="1"/>
      <name val="Aptos Narrow"/>
      <family val="2"/>
      <scheme val="minor"/>
    </font>
    <font>
      <b/>
      <sz val="16"/>
      <color theme="0"/>
      <name val="Aptos Narrow"/>
      <scheme val="minor"/>
    </font>
    <font>
      <b/>
      <sz val="12"/>
      <color theme="0"/>
      <name val="Aptos Narrow"/>
      <scheme val="minor"/>
    </font>
    <font>
      <sz val="12"/>
      <color theme="0"/>
      <name val="Aptos Narrow"/>
      <scheme val="minor"/>
    </font>
    <font>
      <b/>
      <sz val="24"/>
      <color theme="1"/>
      <name val="Aptos Narrow"/>
      <scheme val="minor"/>
    </font>
    <font>
      <sz val="13"/>
      <color rgb="FF000000"/>
      <name val="Lucida Grande"/>
      <family val="2"/>
    </font>
    <font>
      <sz val="12"/>
      <color theme="0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4"/>
      <color theme="1"/>
      <name val="Aptos Narrow"/>
      <scheme val="minor"/>
    </font>
    <font>
      <b/>
      <sz val="18"/>
      <color theme="0"/>
      <name val="Aptos Narrow"/>
      <scheme val="minor"/>
    </font>
    <font>
      <u/>
      <sz val="12"/>
      <color theme="1"/>
      <name val="Aptos Narrow"/>
      <family val="2"/>
      <scheme val="minor"/>
    </font>
    <font>
      <sz val="14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449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/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4" fillId="2" borderId="1" xfId="0" applyFont="1" applyFill="1" applyBorder="1"/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0" fillId="3" borderId="4" xfId="0" applyFill="1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0" fillId="4" borderId="4" xfId="0" applyFill="1" applyBorder="1"/>
    <xf numFmtId="0" fontId="0" fillId="4" borderId="0" xfId="0" applyFill="1" applyAlignment="1">
      <alignment horizontal="center"/>
    </xf>
    <xf numFmtId="0" fontId="0" fillId="4" borderId="4" xfId="0" applyFill="1" applyBorder="1" applyAlignment="1">
      <alignment vertical="center"/>
    </xf>
    <xf numFmtId="0" fontId="0" fillId="4" borderId="5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3" borderId="12" xfId="0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0" fontId="6" fillId="2" borderId="1" xfId="0" applyFont="1" applyFill="1" applyBorder="1"/>
    <xf numFmtId="2" fontId="0" fillId="4" borderId="0" xfId="0" applyNumberFormat="1" applyFill="1" applyAlignment="1">
      <alignment horizontal="center"/>
    </xf>
    <xf numFmtId="2" fontId="0" fillId="4" borderId="5" xfId="0" applyNumberFormat="1" applyFill="1" applyBorder="1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7" fillId="0" borderId="0" xfId="0" applyFont="1"/>
    <xf numFmtId="0" fontId="1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4" xfId="0" applyFont="1" applyBorder="1"/>
    <xf numFmtId="0" fontId="1" fillId="0" borderId="0" xfId="0" applyFont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22" xfId="0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0" fillId="4" borderId="12" xfId="0" applyFill="1" applyBorder="1"/>
    <xf numFmtId="0" fontId="0" fillId="4" borderId="0" xfId="0" applyFill="1"/>
    <xf numFmtId="0" fontId="0" fillId="4" borderId="5" xfId="0" applyFill="1" applyBorder="1"/>
    <xf numFmtId="0" fontId="9" fillId="0" borderId="0" xfId="0" applyFont="1"/>
    <xf numFmtId="0" fontId="10" fillId="0" borderId="0" xfId="0" applyFont="1"/>
    <xf numFmtId="0" fontId="0" fillId="4" borderId="13" xfId="0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11" fillId="0" borderId="0" xfId="0" applyFont="1"/>
    <xf numFmtId="0" fontId="0" fillId="0" borderId="7" xfId="0" applyBorder="1"/>
    <xf numFmtId="0" fontId="3" fillId="0" borderId="10" xfId="0" applyFont="1" applyBorder="1"/>
    <xf numFmtId="0" fontId="0" fillId="0" borderId="13" xfId="0" applyBorder="1"/>
    <xf numFmtId="0" fontId="0" fillId="0" borderId="10" xfId="0" applyBorder="1"/>
    <xf numFmtId="0" fontId="3" fillId="0" borderId="10" xfId="0" applyFont="1" applyBorder="1" applyAlignment="1">
      <alignment vertic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2" borderId="15" xfId="0" applyFill="1" applyBorder="1"/>
    <xf numFmtId="0" fontId="0" fillId="2" borderId="16" xfId="0" applyFill="1" applyBorder="1"/>
    <xf numFmtId="0" fontId="9" fillId="2" borderId="15" xfId="0" applyFont="1" applyFill="1" applyBorder="1"/>
    <xf numFmtId="0" fontId="9" fillId="2" borderId="16" xfId="0" applyFont="1" applyFill="1" applyBorder="1"/>
    <xf numFmtId="0" fontId="12" fillId="2" borderId="14" xfId="0" applyFont="1" applyFill="1" applyBorder="1"/>
    <xf numFmtId="0" fontId="0" fillId="4" borderId="10" xfId="0" applyFill="1" applyBorder="1"/>
    <xf numFmtId="0" fontId="0" fillId="4" borderId="13" xfId="0" applyFill="1" applyBorder="1"/>
    <xf numFmtId="0" fontId="0" fillId="4" borderId="10" xfId="0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13" fillId="0" borderId="0" xfId="0" applyFont="1"/>
    <xf numFmtId="0" fontId="12" fillId="2" borderId="1" xfId="0" applyFont="1" applyFill="1" applyBorder="1"/>
    <xf numFmtId="0" fontId="0" fillId="2" borderId="2" xfId="0" applyFill="1" applyBorder="1"/>
    <xf numFmtId="0" fontId="9" fillId="2" borderId="4" xfId="0" applyFont="1" applyFill="1" applyBorder="1"/>
    <xf numFmtId="0" fontId="9" fillId="4" borderId="4" xfId="0" applyFont="1" applyFill="1" applyBorder="1"/>
    <xf numFmtId="0" fontId="3" fillId="0" borderId="0" xfId="0" applyFont="1" applyAlignment="1">
      <alignment wrapText="1"/>
    </xf>
    <xf numFmtId="0" fontId="0" fillId="4" borderId="0" xfId="0" applyFill="1" applyAlignment="1">
      <alignment vertical="center"/>
    </xf>
    <xf numFmtId="0" fontId="0" fillId="3" borderId="5" xfId="0" applyFill="1" applyBorder="1" applyAlignment="1">
      <alignment horizontal="center" vertical="center"/>
    </xf>
    <xf numFmtId="2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/>
    </xf>
    <xf numFmtId="0" fontId="5" fillId="3" borderId="0" xfId="0" applyFont="1" applyFill="1" applyAlignment="1">
      <alignment horizontal="center"/>
    </xf>
    <xf numFmtId="0" fontId="0" fillId="4" borderId="6" xfId="0" applyFill="1" applyBorder="1"/>
    <xf numFmtId="2" fontId="0" fillId="4" borderId="7" xfId="0" applyNumberFormat="1" applyFill="1" applyBorder="1" applyAlignment="1">
      <alignment horizontal="center"/>
    </xf>
    <xf numFmtId="2" fontId="0" fillId="4" borderId="8" xfId="0" applyNumberFormat="1" applyFill="1" applyBorder="1" applyAlignment="1">
      <alignment horizontal="center"/>
    </xf>
    <xf numFmtId="0" fontId="9" fillId="2" borderId="0" xfId="0" applyFont="1" applyFill="1"/>
    <xf numFmtId="0" fontId="0" fillId="3" borderId="0" xfId="0" applyFill="1"/>
    <xf numFmtId="0" fontId="0" fillId="3" borderId="0" xfId="0" applyFill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9" fillId="3" borderId="0" xfId="0" applyFont="1" applyFill="1"/>
    <xf numFmtId="0" fontId="11" fillId="3" borderId="0" xfId="0" applyFont="1" applyFill="1"/>
    <xf numFmtId="0" fontId="1" fillId="3" borderId="13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2" fontId="1" fillId="4" borderId="0" xfId="0" applyNumberFormat="1" applyFont="1" applyFill="1" applyAlignment="1">
      <alignment horizontal="center"/>
    </xf>
    <xf numFmtId="2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 applyAlignment="1">
      <alignment horizontal="right"/>
    </xf>
    <xf numFmtId="0" fontId="6" fillId="2" borderId="10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5" xfId="0" applyBorder="1"/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/>
    <xf numFmtId="0" fontId="1" fillId="4" borderId="20" xfId="0" applyFont="1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0" xfId="0" applyFill="1"/>
    <xf numFmtId="0" fontId="0" fillId="4" borderId="5" xfId="0" applyFill="1" applyBorder="1"/>
    <xf numFmtId="0" fontId="0" fillId="0" borderId="0" xfId="0"/>
    <xf numFmtId="0" fontId="0" fillId="0" borderId="7" xfId="0" applyBorder="1"/>
    <xf numFmtId="0" fontId="0" fillId="0" borderId="17" xfId="0" applyBorder="1"/>
    <xf numFmtId="0" fontId="0" fillId="0" borderId="26" xfId="0" applyBorder="1"/>
    <xf numFmtId="0" fontId="0" fillId="2" borderId="2" xfId="0" applyFill="1" applyBorder="1"/>
    <xf numFmtId="0" fontId="0" fillId="2" borderId="3" xfId="0" applyFill="1" applyBorder="1"/>
    <xf numFmtId="0" fontId="14" fillId="2" borderId="10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4" borderId="10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0" borderId="4" xfId="0" applyFont="1" applyBorder="1"/>
    <xf numFmtId="0" fontId="3" fillId="0" borderId="0" xfId="0" applyFont="1"/>
    <xf numFmtId="0" fontId="3" fillId="4" borderId="4" xfId="0" applyFont="1" applyFill="1" applyBorder="1"/>
    <xf numFmtId="0" fontId="3" fillId="4" borderId="0" xfId="0" applyFont="1" applyFill="1"/>
    <xf numFmtId="0" fontId="11" fillId="0" borderId="25" xfId="0" applyFont="1" applyBorder="1"/>
    <xf numFmtId="0" fontId="11" fillId="0" borderId="18" xfId="0" applyFont="1" applyBorder="1"/>
    <xf numFmtId="0" fontId="14" fillId="2" borderId="0" xfId="0" applyFont="1" applyFill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19" xfId="0" applyBorder="1"/>
    <xf numFmtId="0" fontId="0" fillId="0" borderId="18" xfId="0" applyBorder="1"/>
    <xf numFmtId="0" fontId="0" fillId="4" borderId="0" xfId="0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44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Radio" firstButton="1" fmlaLink="$B$40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checked="Checked" lockText="1" noThreeD="1"/>
</file>

<file path=xl/ctrlProps/ctrlProp14.xml><?xml version="1.0" encoding="utf-8"?>
<formControlPr xmlns="http://schemas.microsoft.com/office/spreadsheetml/2009/9/main" objectType="Scroll" dx="15" fmlaLink="$F$13" horiz="1" max="100" page="10" val="0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firstButton="1" fmlaLink="$B$24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checked="Checked" lockText="1" noThreeD="1"/>
</file>

<file path=xl/ctrlProps/ctrlProp2.xml><?xml version="1.0" encoding="utf-8"?>
<formControlPr xmlns="http://schemas.microsoft.com/office/spreadsheetml/2009/9/main" objectType="Radio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Scroll" dx="15" fmlaLink="$C$33" horiz="1" max="100" page="10" val="0"/>
</file>

<file path=xl/ctrlProps/ctrlProp25.xml><?xml version="1.0" encoding="utf-8"?>
<formControlPr xmlns="http://schemas.microsoft.com/office/spreadsheetml/2009/9/main" objectType="Scroll" dx="15" fmlaLink="$H$33" horiz="1" max="100" page="10" val="0"/>
</file>

<file path=xl/ctrlProps/ctrlProp3.xml><?xml version="1.0" encoding="utf-8"?>
<formControlPr xmlns="http://schemas.microsoft.com/office/spreadsheetml/2009/9/main" objectType="Radio" noThreeD="1"/>
</file>

<file path=xl/ctrlProps/ctrlProp4.xml><?xml version="1.0" encoding="utf-8"?>
<formControlPr xmlns="http://schemas.microsoft.com/office/spreadsheetml/2009/9/main" objectType="Radio" noThreeD="1"/>
</file>

<file path=xl/ctrlProps/ctrlProp5.xml><?xml version="1.0" encoding="utf-8"?>
<formControlPr xmlns="http://schemas.microsoft.com/office/spreadsheetml/2009/9/main" objectType="Radio" checked="Checked" noThreeD="1"/>
</file>

<file path=xl/ctrlProps/ctrlProp6.xml><?xml version="1.0" encoding="utf-8"?>
<formControlPr xmlns="http://schemas.microsoft.com/office/spreadsheetml/2009/9/main" objectType="Radio" noThreeD="1"/>
</file>

<file path=xl/ctrlProps/ctrlProp7.xml><?xml version="1.0" encoding="utf-8"?>
<formControlPr xmlns="http://schemas.microsoft.com/office/spreadsheetml/2009/9/main" objectType="Radio" noThreeD="1"/>
</file>

<file path=xl/ctrlProps/ctrlProp8.xml><?xml version="1.0" encoding="utf-8"?>
<formControlPr xmlns="http://schemas.microsoft.com/office/spreadsheetml/2009/9/main" objectType="Scroll" dx="15" fmlaLink="$O$13" horiz="1" max="100" page="10" val="0"/>
</file>

<file path=xl/ctrlProps/ctrlProp9.xml><?xml version="1.0" encoding="utf-8"?>
<formControlPr xmlns="http://schemas.microsoft.com/office/spreadsheetml/2009/9/main" objectType="Radio" firstButton="1" fmlaLink="$B$33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18</xdr:row>
          <xdr:rowOff>190500</xdr:rowOff>
        </xdr:from>
        <xdr:to>
          <xdr:col>2</xdr:col>
          <xdr:colOff>1168400</xdr:colOff>
          <xdr:row>20</xdr:row>
          <xdr:rowOff>63500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B040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18</xdr:row>
          <xdr:rowOff>190500</xdr:rowOff>
        </xdr:from>
        <xdr:to>
          <xdr:col>3</xdr:col>
          <xdr:colOff>1054100</xdr:colOff>
          <xdr:row>20</xdr:row>
          <xdr:rowOff>63500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B050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215900</xdr:colOff>
          <xdr:row>18</xdr:row>
          <xdr:rowOff>190500</xdr:rowOff>
        </xdr:from>
        <xdr:to>
          <xdr:col>4</xdr:col>
          <xdr:colOff>1155700</xdr:colOff>
          <xdr:row>20</xdr:row>
          <xdr:rowOff>63500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B080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203200</xdr:colOff>
          <xdr:row>18</xdr:row>
          <xdr:rowOff>190500</xdr:rowOff>
        </xdr:from>
        <xdr:to>
          <xdr:col>5</xdr:col>
          <xdr:colOff>1028700</xdr:colOff>
          <xdr:row>20</xdr:row>
          <xdr:rowOff>63500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B100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18</xdr:row>
          <xdr:rowOff>190500</xdr:rowOff>
        </xdr:from>
        <xdr:to>
          <xdr:col>6</xdr:col>
          <xdr:colOff>1054100</xdr:colOff>
          <xdr:row>20</xdr:row>
          <xdr:rowOff>63500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B150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18</xdr:row>
          <xdr:rowOff>190500</xdr:rowOff>
        </xdr:from>
        <xdr:to>
          <xdr:col>7</xdr:col>
          <xdr:colOff>1041400</xdr:colOff>
          <xdr:row>20</xdr:row>
          <xdr:rowOff>63500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B280</a:t>
              </a:r>
            </a:p>
          </xdr:txBody>
        </xdr:sp>
        <xdr:clientData fLocksWithSheet="0"/>
      </xdr:twoCellAnchor>
    </mc:Choice>
    <mc:Fallback/>
  </mc:AlternateContent>
  <xdr:twoCellAnchor editAs="oneCell">
    <xdr:from>
      <xdr:col>9</xdr:col>
      <xdr:colOff>863600</xdr:colOff>
      <xdr:row>0</xdr:row>
      <xdr:rowOff>0</xdr:rowOff>
    </xdr:from>
    <xdr:to>
      <xdr:col>11</xdr:col>
      <xdr:colOff>391160</xdr:colOff>
      <xdr:row>4</xdr:row>
      <xdr:rowOff>21448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B7C288F4-30B0-81DA-4B5A-34B15C6E5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36400" y="0"/>
          <a:ext cx="1940560" cy="107808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203200</xdr:colOff>
          <xdr:row>18</xdr:row>
          <xdr:rowOff>177800</xdr:rowOff>
        </xdr:from>
        <xdr:to>
          <xdr:col>8</xdr:col>
          <xdr:colOff>1054100</xdr:colOff>
          <xdr:row>20</xdr:row>
          <xdr:rowOff>50800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B500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469900</xdr:colOff>
      <xdr:row>0</xdr:row>
      <xdr:rowOff>0</xdr:rowOff>
    </xdr:from>
    <xdr:to>
      <xdr:col>17</xdr:col>
      <xdr:colOff>759460</xdr:colOff>
      <xdr:row>4</xdr:row>
      <xdr:rowOff>21448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B0E3B37-12DB-A641-81F6-D075B644F1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420600" y="0"/>
          <a:ext cx="1940560" cy="107554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482600</xdr:colOff>
          <xdr:row>10</xdr:row>
          <xdr:rowOff>12700</xdr:rowOff>
        </xdr:from>
        <xdr:to>
          <xdr:col>7</xdr:col>
          <xdr:colOff>457200</xdr:colOff>
          <xdr:row>11</xdr:row>
          <xdr:rowOff>12700</xdr:rowOff>
        </xdr:to>
        <xdr:sp macro="" textlink="">
          <xdr:nvSpPr>
            <xdr:cNvPr id="2049" name="Scroll Ba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508000</xdr:colOff>
          <xdr:row>10</xdr:row>
          <xdr:rowOff>0</xdr:rowOff>
        </xdr:from>
        <xdr:to>
          <xdr:col>16</xdr:col>
          <xdr:colOff>431800</xdr:colOff>
          <xdr:row>11</xdr:row>
          <xdr:rowOff>0</xdr:rowOff>
        </xdr:to>
        <xdr:sp macro="" textlink="">
          <xdr:nvSpPr>
            <xdr:cNvPr id="2050" name="Scroll Bar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431800</xdr:colOff>
          <xdr:row>27</xdr:row>
          <xdr:rowOff>165100</xdr:rowOff>
        </xdr:from>
        <xdr:to>
          <xdr:col>4</xdr:col>
          <xdr:colOff>584200</xdr:colOff>
          <xdr:row>29</xdr:row>
          <xdr:rowOff>76200</xdr:rowOff>
        </xdr:to>
        <xdr:sp macro="" textlink="">
          <xdr:nvSpPr>
            <xdr:cNvPr id="2051" name="Option 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B040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482600</xdr:colOff>
          <xdr:row>27</xdr:row>
          <xdr:rowOff>165100</xdr:rowOff>
        </xdr:from>
        <xdr:to>
          <xdr:col>6</xdr:col>
          <xdr:colOff>558800</xdr:colOff>
          <xdr:row>29</xdr:row>
          <xdr:rowOff>76200</xdr:rowOff>
        </xdr:to>
        <xdr:sp macro="" textlink="">
          <xdr:nvSpPr>
            <xdr:cNvPr id="2052" name="Option Butto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B050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520700</xdr:colOff>
          <xdr:row>27</xdr:row>
          <xdr:rowOff>165100</xdr:rowOff>
        </xdr:from>
        <xdr:to>
          <xdr:col>8</xdr:col>
          <xdr:colOff>635000</xdr:colOff>
          <xdr:row>29</xdr:row>
          <xdr:rowOff>76200</xdr:rowOff>
        </xdr:to>
        <xdr:sp macro="" textlink="">
          <xdr:nvSpPr>
            <xdr:cNvPr id="2053" name="Option Butto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B080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533400</xdr:colOff>
          <xdr:row>27</xdr:row>
          <xdr:rowOff>165100</xdr:rowOff>
        </xdr:from>
        <xdr:to>
          <xdr:col>10</xdr:col>
          <xdr:colOff>533400</xdr:colOff>
          <xdr:row>29</xdr:row>
          <xdr:rowOff>76200</xdr:rowOff>
        </xdr:to>
        <xdr:sp macro="" textlink="">
          <xdr:nvSpPr>
            <xdr:cNvPr id="2054" name="Option Butto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B100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520700</xdr:colOff>
          <xdr:row>27</xdr:row>
          <xdr:rowOff>165100</xdr:rowOff>
        </xdr:from>
        <xdr:to>
          <xdr:col>12</xdr:col>
          <xdr:colOff>558800</xdr:colOff>
          <xdr:row>29</xdr:row>
          <xdr:rowOff>76200</xdr:rowOff>
        </xdr:to>
        <xdr:sp macro="" textlink="">
          <xdr:nvSpPr>
            <xdr:cNvPr id="2055" name="Option Butto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B150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482600</xdr:colOff>
          <xdr:row>27</xdr:row>
          <xdr:rowOff>165100</xdr:rowOff>
        </xdr:from>
        <xdr:to>
          <xdr:col>14</xdr:col>
          <xdr:colOff>508000</xdr:colOff>
          <xdr:row>29</xdr:row>
          <xdr:rowOff>76200</xdr:rowOff>
        </xdr:to>
        <xdr:sp macro="" textlink="">
          <xdr:nvSpPr>
            <xdr:cNvPr id="2056" name="Option Butto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B280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457200</xdr:colOff>
          <xdr:row>27</xdr:row>
          <xdr:rowOff>165100</xdr:rowOff>
        </xdr:from>
        <xdr:to>
          <xdr:col>16</xdr:col>
          <xdr:colOff>482600</xdr:colOff>
          <xdr:row>29</xdr:row>
          <xdr:rowOff>76200</xdr:rowOff>
        </xdr:to>
        <xdr:sp macro="" textlink="">
          <xdr:nvSpPr>
            <xdr:cNvPr id="2057" name="Option Butto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B500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419100</xdr:colOff>
          <xdr:row>9</xdr:row>
          <xdr:rowOff>190500</xdr:rowOff>
        </xdr:from>
        <xdr:to>
          <xdr:col>2</xdr:col>
          <xdr:colOff>1397000</xdr:colOff>
          <xdr:row>11</xdr:row>
          <xdr:rowOff>63500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B040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330200</xdr:colOff>
          <xdr:row>9</xdr:row>
          <xdr:rowOff>190500</xdr:rowOff>
        </xdr:from>
        <xdr:to>
          <xdr:col>3</xdr:col>
          <xdr:colOff>1231900</xdr:colOff>
          <xdr:row>11</xdr:row>
          <xdr:rowOff>63500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B050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444500</xdr:colOff>
          <xdr:row>9</xdr:row>
          <xdr:rowOff>190500</xdr:rowOff>
        </xdr:from>
        <xdr:to>
          <xdr:col>4</xdr:col>
          <xdr:colOff>1384300</xdr:colOff>
          <xdr:row>11</xdr:row>
          <xdr:rowOff>63500</xdr:rowOff>
        </xdr:to>
        <xdr:sp macro="" textlink="">
          <xdr:nvSpPr>
            <xdr:cNvPr id="4099" name="Option Butto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B080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469900</xdr:colOff>
          <xdr:row>9</xdr:row>
          <xdr:rowOff>190500</xdr:rowOff>
        </xdr:from>
        <xdr:to>
          <xdr:col>5</xdr:col>
          <xdr:colOff>1295400</xdr:colOff>
          <xdr:row>11</xdr:row>
          <xdr:rowOff>63500</xdr:rowOff>
        </xdr:to>
        <xdr:sp macro="" textlink="">
          <xdr:nvSpPr>
            <xdr:cNvPr id="4100" name="Option Button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2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B100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444500</xdr:colOff>
          <xdr:row>9</xdr:row>
          <xdr:rowOff>190500</xdr:rowOff>
        </xdr:from>
        <xdr:to>
          <xdr:col>6</xdr:col>
          <xdr:colOff>1308100</xdr:colOff>
          <xdr:row>11</xdr:row>
          <xdr:rowOff>63500</xdr:rowOff>
        </xdr:to>
        <xdr:sp macro="" textlink="">
          <xdr:nvSpPr>
            <xdr:cNvPr id="4101" name="Option Button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2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B150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9</xdr:row>
          <xdr:rowOff>177800</xdr:rowOff>
        </xdr:from>
        <xdr:to>
          <xdr:col>7</xdr:col>
          <xdr:colOff>1231900</xdr:colOff>
          <xdr:row>11</xdr:row>
          <xdr:rowOff>50800</xdr:rowOff>
        </xdr:to>
        <xdr:sp macro="" textlink="">
          <xdr:nvSpPr>
            <xdr:cNvPr id="4102" name="Option Button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2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B280</a:t>
              </a:r>
            </a:p>
          </xdr:txBody>
        </xdr:sp>
        <xdr:clientData/>
      </xdr:twoCellAnchor>
    </mc:Choice>
    <mc:Fallback/>
  </mc:AlternateContent>
  <xdr:twoCellAnchor editAs="oneCell">
    <xdr:from>
      <xdr:col>9</xdr:col>
      <xdr:colOff>266700</xdr:colOff>
      <xdr:row>0</xdr:row>
      <xdr:rowOff>12700</xdr:rowOff>
    </xdr:from>
    <xdr:to>
      <xdr:col>10</xdr:col>
      <xdr:colOff>416560</xdr:colOff>
      <xdr:row>4</xdr:row>
      <xdr:rowOff>34148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810A9E8-FADF-844C-BAA6-43B25DEC7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516100" y="12700"/>
          <a:ext cx="1940560" cy="107554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419100</xdr:colOff>
          <xdr:row>9</xdr:row>
          <xdr:rowOff>190500</xdr:rowOff>
        </xdr:from>
        <xdr:to>
          <xdr:col>8</xdr:col>
          <xdr:colOff>1270000</xdr:colOff>
          <xdr:row>11</xdr:row>
          <xdr:rowOff>63500</xdr:rowOff>
        </xdr:to>
        <xdr:sp macro="" textlink="">
          <xdr:nvSpPr>
            <xdr:cNvPr id="4105" name="Option Button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2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B500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29</xdr:row>
          <xdr:rowOff>177800</xdr:rowOff>
        </xdr:from>
        <xdr:to>
          <xdr:col>4</xdr:col>
          <xdr:colOff>254000</xdr:colOff>
          <xdr:row>31</xdr:row>
          <xdr:rowOff>101600</xdr:rowOff>
        </xdr:to>
        <xdr:sp macro="" textlink="">
          <xdr:nvSpPr>
            <xdr:cNvPr id="4106" name="Scroll Bar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2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787400</xdr:colOff>
          <xdr:row>29</xdr:row>
          <xdr:rowOff>165100</xdr:rowOff>
        </xdr:from>
        <xdr:to>
          <xdr:col>9</xdr:col>
          <xdr:colOff>736600</xdr:colOff>
          <xdr:row>31</xdr:row>
          <xdr:rowOff>88900</xdr:rowOff>
        </xdr:to>
        <xdr:sp macro="" textlink="">
          <xdr:nvSpPr>
            <xdr:cNvPr id="4107" name="Scroll Bar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2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ctrlProp" Target="../ctrlProps/ctrlProp8.xml"/><Relationship Id="rId7" Type="http://schemas.openxmlformats.org/officeDocument/2006/relationships/ctrlProp" Target="../ctrlProps/ctrlProp1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11.xml"/><Relationship Id="rId11" Type="http://schemas.openxmlformats.org/officeDocument/2006/relationships/ctrlProp" Target="../ctrlProps/ctrlProp16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2.xml"/><Relationship Id="rId3" Type="http://schemas.openxmlformats.org/officeDocument/2006/relationships/ctrlProp" Target="../ctrlProps/ctrlProp17.xml"/><Relationship Id="rId7" Type="http://schemas.openxmlformats.org/officeDocument/2006/relationships/ctrlProp" Target="../ctrlProps/ctrlProp2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20.xml"/><Relationship Id="rId11" Type="http://schemas.openxmlformats.org/officeDocument/2006/relationships/ctrlProp" Target="../ctrlProps/ctrlProp25.xml"/><Relationship Id="rId5" Type="http://schemas.openxmlformats.org/officeDocument/2006/relationships/ctrlProp" Target="../ctrlProps/ctrlProp19.xml"/><Relationship Id="rId10" Type="http://schemas.openxmlformats.org/officeDocument/2006/relationships/ctrlProp" Target="../ctrlProps/ctrlProp24.xml"/><Relationship Id="rId4" Type="http://schemas.openxmlformats.org/officeDocument/2006/relationships/ctrlProp" Target="../ctrlProps/ctrlProp18.xml"/><Relationship Id="rId9" Type="http://schemas.openxmlformats.org/officeDocument/2006/relationships/ctrlProp" Target="../ctrlProps/ctrlProp2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8812A-2ADE-CA4A-9195-8073CEE651F3}">
  <sheetPr codeName="Tabelle1"/>
  <dimension ref="B1:K50"/>
  <sheetViews>
    <sheetView showGridLines="0" tabSelected="1" zoomScaleNormal="100" workbookViewId="0">
      <selection activeCell="I1" sqref="I1"/>
    </sheetView>
  </sheetViews>
  <sheetFormatPr baseColWidth="10" defaultRowHeight="16" x14ac:dyDescent="0.2"/>
  <cols>
    <col min="1" max="1" width="2" customWidth="1"/>
    <col min="2" max="2" width="32.1640625" customWidth="1"/>
    <col min="3" max="8" width="15.83203125" customWidth="1"/>
    <col min="9" max="9" width="16.6640625" customWidth="1"/>
    <col min="10" max="11" width="15.83203125" customWidth="1"/>
  </cols>
  <sheetData>
    <row r="1" spans="2:9" ht="32" x14ac:dyDescent="0.4">
      <c r="B1" s="38" t="s">
        <v>0</v>
      </c>
      <c r="H1" s="37" t="s">
        <v>56</v>
      </c>
      <c r="I1" s="50" t="s">
        <v>46</v>
      </c>
    </row>
    <row r="2" spans="2:9" ht="19" x14ac:dyDescent="0.25">
      <c r="B2" s="37" t="str">
        <f>IF(I1="DEUTSCH","Gemäß 6.7.2: Objektgrößendefinition und benötigte Pixeldichte in IP-Video-Sicherheitssystemen","According 6.7.2: Object size definition and required pixel density in IP-video security systems")</f>
        <v>Gemäß 6.7.2: Objektgrößendefinition und benötigte Pixeldichte in IP-Video-Sicherheitssystemen</v>
      </c>
    </row>
    <row r="4" spans="2:9" x14ac:dyDescent="0.2">
      <c r="B4" t="str">
        <f>IF(I1="DEUTSCH","Berechnungen beziehen sich auf die Bildhöhe (vertikale Auflösung)","Calculations are based on the image height (vertical resolution)")</f>
        <v>Berechnungen beziehen sich auf die Bildhöhe (vertikale Auflösung)</v>
      </c>
    </row>
    <row r="9" spans="2:9" x14ac:dyDescent="0.2">
      <c r="C9" s="104" t="str">
        <f>IF(I1="DEUTSCH","Bildqualitätsstufe LPDO","Image quality level LPDO")</f>
        <v>Bildqualitätsstufe LPDO</v>
      </c>
      <c r="D9" s="105"/>
      <c r="E9" s="106"/>
      <c r="F9" s="104" t="str">
        <f>IF(I1="DEUTSCH","Bildqualitätsstufe HPDO","Image quality level HPDO")</f>
        <v>Bildqualitätsstufe HPDO</v>
      </c>
      <c r="G9" s="105"/>
      <c r="H9" s="105"/>
      <c r="I9" s="106"/>
    </row>
    <row r="10" spans="2:9" x14ac:dyDescent="0.2">
      <c r="C10" s="101" t="str">
        <f>IF(I1="DEUTSCH","Objekt mit geringer Pixeldichte","Low Pixel Denisty Object")</f>
        <v>Objekt mit geringer Pixeldichte</v>
      </c>
      <c r="D10" s="102"/>
      <c r="E10" s="103"/>
      <c r="F10" s="101" t="str">
        <f>IF(I1="DEUTSCH","Objekt mit hoher Pixeldichte","High Pixel Density Object")</f>
        <v>Objekt mit hoher Pixeldichte</v>
      </c>
      <c r="G10" s="102"/>
      <c r="H10" s="102"/>
      <c r="I10" s="103"/>
    </row>
    <row r="11" spans="2:9" ht="7" customHeight="1" x14ac:dyDescent="0.2">
      <c r="C11" s="25"/>
      <c r="D11" s="1"/>
      <c r="E11" s="24"/>
      <c r="F11" s="25"/>
      <c r="G11" s="1"/>
      <c r="H11" s="1"/>
      <c r="I11" s="24"/>
    </row>
    <row r="12" spans="2:9" x14ac:dyDescent="0.2">
      <c r="C12" s="25" t="str">
        <f>IF(I1="DEUTSCH","Übersicht","Overview")</f>
        <v>Übersicht</v>
      </c>
      <c r="D12" s="1" t="str">
        <f>IF(I1="DEUTSCH","Umriss","Outline")</f>
        <v>Umriss</v>
      </c>
      <c r="E12" s="24" t="str">
        <f>IF(I1="DEUTSCH","Erkennen","Discern")</f>
        <v>Erkennen</v>
      </c>
      <c r="F12" s="25" t="str">
        <f>IF(I1="DEUTSCH","Wahrnehmen","Perceive")</f>
        <v>Wahrnehmen</v>
      </c>
      <c r="G12" s="1" t="str">
        <f>IF(I1="DEUTSCH","Charakterisieren","Characterise")</f>
        <v>Charakterisieren</v>
      </c>
      <c r="H12" s="1" t="str">
        <f>IF(I1="DEUTSCH","Validieren","Validate")</f>
        <v>Validieren</v>
      </c>
      <c r="I12" s="24" t="str">
        <f>IF(I1="DEUTSCH","Überprüfen","Scrutinise")</f>
        <v>Überprüfen</v>
      </c>
    </row>
    <row r="13" spans="2:9" x14ac:dyDescent="0.2">
      <c r="B13" s="36" t="s">
        <v>1</v>
      </c>
      <c r="C13" s="26">
        <v>20</v>
      </c>
      <c r="D13" s="27">
        <v>40</v>
      </c>
      <c r="E13" s="28">
        <v>80</v>
      </c>
      <c r="F13" s="26">
        <v>125</v>
      </c>
      <c r="G13" s="27">
        <v>250</v>
      </c>
      <c r="H13" s="27">
        <v>500</v>
      </c>
      <c r="I13" s="28">
        <v>1500</v>
      </c>
    </row>
    <row r="16" spans="2:9" ht="17" thickBot="1" x14ac:dyDescent="0.25"/>
    <row r="17" spans="2:11" ht="20" customHeight="1" x14ac:dyDescent="0.3">
      <c r="B17" s="9" t="str">
        <f>IF(I1="DEUTSCH","ONE + Mx 7 Plattform","ONE + Mx 7 Platform")</f>
        <v>ONE + Mx 7 Plattform</v>
      </c>
      <c r="C17" s="10" t="s">
        <v>13</v>
      </c>
      <c r="D17" s="10" t="s">
        <v>12</v>
      </c>
      <c r="E17" s="10" t="s">
        <v>11</v>
      </c>
      <c r="F17" s="10" t="s">
        <v>10</v>
      </c>
      <c r="G17" s="10" t="s">
        <v>6</v>
      </c>
      <c r="H17" s="10" t="s">
        <v>8</v>
      </c>
      <c r="I17" s="10" t="s">
        <v>49</v>
      </c>
      <c r="J17" s="10" t="s">
        <v>14</v>
      </c>
      <c r="K17" s="11" t="s">
        <v>15</v>
      </c>
    </row>
    <row r="18" spans="2:11" s="2" customFormat="1" ht="34" customHeight="1" x14ac:dyDescent="0.2">
      <c r="B18" s="12" t="str">
        <f>IF(I1="DEUTSCH","Öffnungswinkel HxV","Viewing angle HxV")</f>
        <v>Öffnungswinkel HxV</v>
      </c>
      <c r="C18" s="23" t="s">
        <v>2</v>
      </c>
      <c r="D18" s="13" t="s">
        <v>3</v>
      </c>
      <c r="E18" s="23" t="s">
        <v>4</v>
      </c>
      <c r="F18" s="13" t="s">
        <v>5</v>
      </c>
      <c r="G18" s="23" t="s">
        <v>7</v>
      </c>
      <c r="H18" s="13" t="s">
        <v>9</v>
      </c>
      <c r="I18" s="20" t="s">
        <v>55</v>
      </c>
      <c r="J18" s="20" t="s">
        <v>24</v>
      </c>
      <c r="K18" s="14" t="s">
        <v>25</v>
      </c>
    </row>
    <row r="19" spans="2:11" s="2" customFormat="1" ht="20" customHeight="1" x14ac:dyDescent="0.2">
      <c r="B19" s="18" t="str">
        <f>IF(I1="DEUTSCH","Brennweite","Focal length")</f>
        <v>Brennweite</v>
      </c>
      <c r="C19" s="21" t="s">
        <v>38</v>
      </c>
      <c r="D19" s="15" t="s">
        <v>39</v>
      </c>
      <c r="E19" s="21" t="s">
        <v>40</v>
      </c>
      <c r="F19" s="15" t="s">
        <v>41</v>
      </c>
      <c r="G19" s="21" t="s">
        <v>42</v>
      </c>
      <c r="H19" s="15" t="s">
        <v>43</v>
      </c>
      <c r="I19" s="21" t="s">
        <v>51</v>
      </c>
      <c r="J19" s="21" t="s">
        <v>57</v>
      </c>
      <c r="K19" s="19" t="s">
        <v>58</v>
      </c>
    </row>
    <row r="20" spans="2:11" ht="20" customHeight="1" thickBot="1" x14ac:dyDescent="0.25">
      <c r="B20" s="6" t="str">
        <f>IF(I1="DEUTSCH","Objektiv auswählen :","Select lens :")</f>
        <v>Objektiv auswählen :</v>
      </c>
      <c r="C20" s="22"/>
      <c r="D20" s="7"/>
      <c r="E20" s="22"/>
      <c r="F20" s="7"/>
      <c r="G20" s="22"/>
      <c r="H20" s="7"/>
      <c r="I20" s="22"/>
      <c r="J20" s="22"/>
      <c r="K20" s="8"/>
    </row>
    <row r="21" spans="2:11" x14ac:dyDescent="0.2">
      <c r="C21" s="1"/>
      <c r="D21" s="1"/>
      <c r="E21" s="1"/>
      <c r="F21" s="1"/>
      <c r="G21" s="1"/>
      <c r="H21" s="1"/>
      <c r="I21" s="1"/>
      <c r="J21" s="1"/>
    </row>
    <row r="22" spans="2:11" ht="17" thickBot="1" x14ac:dyDescent="0.25"/>
    <row r="23" spans="2:11" x14ac:dyDescent="0.2">
      <c r="B23" s="33"/>
      <c r="C23" s="10" t="str">
        <f>IF(I1="DEUTSCH","Übersicht","Overview")</f>
        <v>Übersicht</v>
      </c>
      <c r="D23" s="10" t="str">
        <f>IF(I1="DEUTSCH","Umriss","Outline")</f>
        <v>Umriss</v>
      </c>
      <c r="E23" s="10" t="str">
        <f>IF(I1="DEUTSCH","Erkennen","Discern")</f>
        <v>Erkennen</v>
      </c>
      <c r="F23" s="10" t="str">
        <f>IF(I1="DEUTSCH","Wahrnehmen","Perceive")</f>
        <v>Wahrnehmen</v>
      </c>
      <c r="G23" s="10" t="str">
        <f>IF(I1="DEUTSCH","Charakterisieren","Characterise")</f>
        <v>Charakterisieren</v>
      </c>
      <c r="H23" s="10" t="str">
        <f>IF(I1="DEUTSCH","Validieren","Validate")</f>
        <v>Validieren</v>
      </c>
      <c r="I23" s="11" t="str">
        <f>IF(I1="DEUTSCH","Überprüfen","Scrutinise")</f>
        <v>Überprüfen</v>
      </c>
    </row>
    <row r="24" spans="2:11" x14ac:dyDescent="0.2">
      <c r="B24" s="4" t="str">
        <f>IF(I1="DEUTSCH","Bildgröße / Entfernung (m)","Image size / distance (m)")</f>
        <v>Bildgröße / Entfernung (m)</v>
      </c>
      <c r="C24" s="1"/>
      <c r="D24" s="1"/>
      <c r="E24" s="1"/>
      <c r="F24" s="1"/>
      <c r="G24" s="1"/>
      <c r="H24" s="1"/>
      <c r="I24" s="5"/>
    </row>
    <row r="25" spans="2:11" x14ac:dyDescent="0.2">
      <c r="B25" s="16" t="s">
        <v>26</v>
      </c>
      <c r="C25" s="34">
        <f>240/(20*TAN(RADIANS(C40/2))*2)</f>
        <v>40.146937429904455</v>
      </c>
      <c r="D25" s="34">
        <f>240/(40*TAN(RADIANS(C40/2))*2)</f>
        <v>20.073468714952227</v>
      </c>
      <c r="E25" s="34">
        <f>240/(80*TAN(RADIANS(C40/2))*2)</f>
        <v>10.036734357476114</v>
      </c>
      <c r="F25" s="34">
        <f>240/(125*TAN(RADIANS(C40/2))*2)</f>
        <v>6.423509988784712</v>
      </c>
      <c r="G25" s="34">
        <f>240/(250*TAN(RADIANS(C40/2))*2)</f>
        <v>3.211754994392356</v>
      </c>
      <c r="H25" s="34">
        <f>240/(500*TAN(RADIANS(C40/2))*2)</f>
        <v>1.605877497196178</v>
      </c>
      <c r="I25" s="35">
        <f>240/(1500*TAN(RADIANS(C40/2))*2)</f>
        <v>0.53529249906539267</v>
      </c>
    </row>
    <row r="26" spans="2:11" x14ac:dyDescent="0.2">
      <c r="B26" s="4" t="s">
        <v>27</v>
      </c>
      <c r="C26" s="29">
        <f>360/(20*TAN(RADIANS(C40/2))*2)</f>
        <v>60.220406144856675</v>
      </c>
      <c r="D26" s="29">
        <f>360/(40*TAN(RADIANS(C40/2))*2)</f>
        <v>30.110203072428337</v>
      </c>
      <c r="E26" s="29">
        <f>360/(80*TAN(RADIANS(C40/2))*2)</f>
        <v>15.055101536214169</v>
      </c>
      <c r="F26" s="29">
        <f>360/(125*TAN(RADIANS(C40/2))*2)</f>
        <v>9.635264983177068</v>
      </c>
      <c r="G26" s="29">
        <f>360/(250*TAN(RADIANS(C40/2))*2)</f>
        <v>4.817632491588534</v>
      </c>
      <c r="H26" s="29">
        <f>360/(500*TAN(RADIANS(C40/2))*2)</f>
        <v>2.408816245794267</v>
      </c>
      <c r="I26" s="30">
        <f>360/(1500*TAN(RADIANS(C40/2))*2)</f>
        <v>0.802938748598089</v>
      </c>
    </row>
    <row r="27" spans="2:11" x14ac:dyDescent="0.2">
      <c r="B27" s="16" t="s">
        <v>28</v>
      </c>
      <c r="C27" s="34">
        <f>480/(20*TAN(RADIANS(C40/2))*2)</f>
        <v>80.293874859808909</v>
      </c>
      <c r="D27" s="34">
        <f>480/(40*TAN(RADIANS(C40/2))*2)</f>
        <v>40.146937429904455</v>
      </c>
      <c r="E27" s="34">
        <f>480/(80*TAN(RADIANS(C40/2))*2)</f>
        <v>20.073468714952227</v>
      </c>
      <c r="F27" s="34">
        <f>480/(125*TAN(RADIANS(C40/2))*2)</f>
        <v>12.847019977569424</v>
      </c>
      <c r="G27" s="34">
        <f>480/(250*TAN(RADIANS(C40/2))*2)</f>
        <v>6.423509988784712</v>
      </c>
      <c r="H27" s="34">
        <f>480/(500*TAN(RADIANS(C40/2))*2)</f>
        <v>3.211754994392356</v>
      </c>
      <c r="I27" s="35">
        <f>480/(1500*TAN(RADIANS(C40/2))*2)</f>
        <v>1.0705849981307853</v>
      </c>
    </row>
    <row r="28" spans="2:11" x14ac:dyDescent="0.2">
      <c r="B28" s="4" t="s">
        <v>29</v>
      </c>
      <c r="C28" s="29">
        <f>600/(20*TAN(RADIANS(C40/2))*2)</f>
        <v>100.36734357476114</v>
      </c>
      <c r="D28" s="29">
        <f>600/(40*TAN(RADIANS(C40/2))*2)</f>
        <v>50.183671787380568</v>
      </c>
      <c r="E28" s="29">
        <f>600/(80*TAN(RADIANS(C40/2))*2)</f>
        <v>25.091835893690284</v>
      </c>
      <c r="F28" s="29">
        <f>600/(125*TAN(RADIANS(C40/2))*2)</f>
        <v>16.058774971961782</v>
      </c>
      <c r="G28" s="29">
        <f>600/(250*TAN(RADIANS(C40/2))*2)</f>
        <v>8.0293874859808909</v>
      </c>
      <c r="H28" s="29">
        <f>600/(500*TAN(RADIANS(C40/2))*2)</f>
        <v>4.0146937429904455</v>
      </c>
      <c r="I28" s="30">
        <f>600/(1500*TAN(RADIANS(C40/2))*2)</f>
        <v>1.3382312476634817</v>
      </c>
    </row>
    <row r="29" spans="2:11" x14ac:dyDescent="0.2">
      <c r="B29" s="16" t="s">
        <v>30</v>
      </c>
      <c r="C29" s="34">
        <f>768/(20*TAN(RADIANS(C40/2))*2)</f>
        <v>128.47019977569425</v>
      </c>
      <c r="D29" s="34">
        <f>768/(40*TAN(RADIANS(C40/2))*2)</f>
        <v>64.235099887847127</v>
      </c>
      <c r="E29" s="34">
        <f>768/(80*TAN(RADIANS(C40/2))*2)</f>
        <v>32.117549943923564</v>
      </c>
      <c r="F29" s="34">
        <f>768/(125*TAN(RADIANS(C40/2))*2)</f>
        <v>20.55523196411108</v>
      </c>
      <c r="G29" s="34">
        <f>768/(250*TAN(RADIANS(C40/2))*2)</f>
        <v>10.27761598205554</v>
      </c>
      <c r="H29" s="34">
        <f>768/(500*TAN(RADIANS(C40/2))*2)</f>
        <v>5.13880799102777</v>
      </c>
      <c r="I29" s="35">
        <f>768/(1500*TAN(RADIANS(C40/2))*2)</f>
        <v>1.7129359970092566</v>
      </c>
    </row>
    <row r="30" spans="2:11" x14ac:dyDescent="0.2">
      <c r="B30" s="4" t="s">
        <v>31</v>
      </c>
      <c r="C30" s="29">
        <f>720/(20*TAN(RADIANS(C40/2))*2)</f>
        <v>120.44081228971335</v>
      </c>
      <c r="D30" s="29">
        <f>720/(40*TAN(RADIANS(C40/2))*2)</f>
        <v>60.220406144856675</v>
      </c>
      <c r="E30" s="29">
        <f>720/(80*TAN(RADIANS(C40/2))*2)</f>
        <v>30.110203072428337</v>
      </c>
      <c r="F30" s="29">
        <f>720/(125*TAN(RADIANS(C40/2))*2)</f>
        <v>19.270529966354136</v>
      </c>
      <c r="G30" s="29">
        <f>720/(250*TAN(RADIANS(C40/2))*2)</f>
        <v>9.635264983177068</v>
      </c>
      <c r="H30" s="29">
        <f>720/(500*TAN(RADIANS(C40/2))*2)</f>
        <v>4.817632491588534</v>
      </c>
      <c r="I30" s="30">
        <f>720/(1500*TAN(RADIANS(C40/2))*2)</f>
        <v>1.605877497196178</v>
      </c>
    </row>
    <row r="31" spans="2:11" x14ac:dyDescent="0.2">
      <c r="B31" s="16" t="s">
        <v>32</v>
      </c>
      <c r="C31" s="34">
        <f>960/(20*TAN(RADIANS(C40/2))*2)</f>
        <v>160.58774971961782</v>
      </c>
      <c r="D31" s="34">
        <f>960/(40*TAN(RADIANS(C40/2))*2)</f>
        <v>80.293874859808909</v>
      </c>
      <c r="E31" s="34">
        <f>960/(80*TAN(RADIANS(C40/2))*2)</f>
        <v>40.146937429904455</v>
      </c>
      <c r="F31" s="34">
        <f>960/(125*TAN(RADIANS(C40/2))*2)</f>
        <v>25.694039955138848</v>
      </c>
      <c r="G31" s="34">
        <f>960/(250*TAN(RADIANS(C40/2))*2)</f>
        <v>12.847019977569424</v>
      </c>
      <c r="H31" s="34">
        <f>960/(500*TAN(RADIANS(C40/2))*2)</f>
        <v>6.423509988784712</v>
      </c>
      <c r="I31" s="35">
        <f>960/(1500*TAN(RADIANS(C40/2))*2)</f>
        <v>2.1411699962615707</v>
      </c>
    </row>
    <row r="32" spans="2:11" x14ac:dyDescent="0.2">
      <c r="B32" s="4" t="s">
        <v>33</v>
      </c>
      <c r="C32" s="29">
        <f>1080/(20*TAN(RADIANS(C40/2))*2)</f>
        <v>180.66121843457003</v>
      </c>
      <c r="D32" s="29">
        <f>1080/(40*TAN(RADIANS(C40/2))*2)</f>
        <v>90.330609217285016</v>
      </c>
      <c r="E32" s="29">
        <f>1080/(80*TAN(RADIANS(C40/2))*2)</f>
        <v>45.165304608642508</v>
      </c>
      <c r="F32" s="29">
        <f>1080/(125*TAN(RADIANS(C40/2))*2)</f>
        <v>28.905794949531206</v>
      </c>
      <c r="G32" s="29">
        <f>1080/(250*TAN(RADIANS(C40/2))*2)</f>
        <v>14.452897474765603</v>
      </c>
      <c r="H32" s="29">
        <f>1080/(500*TAN(RADIANS(C40/2))*2)</f>
        <v>7.2264487373828015</v>
      </c>
      <c r="I32" s="30">
        <f>1080/(1500*TAN(RADIANS(C40/2))*2)</f>
        <v>2.408816245794267</v>
      </c>
    </row>
    <row r="33" spans="2:10" x14ac:dyDescent="0.2">
      <c r="B33" s="16" t="s">
        <v>34</v>
      </c>
      <c r="C33" s="34">
        <f>1536/(20*TAN(RADIANS(C40/2))*2)</f>
        <v>256.94039955138851</v>
      </c>
      <c r="D33" s="34">
        <f>1536/(40*TAN(RADIANS(C40/2))*2)</f>
        <v>128.47019977569425</v>
      </c>
      <c r="E33" s="34">
        <f>1536/(80*TAN(RADIANS(C40/2))*2)</f>
        <v>64.235099887847127</v>
      </c>
      <c r="F33" s="34">
        <f>1536/(125*TAN(RADIANS(C40/2))*2)</f>
        <v>41.11046392822216</v>
      </c>
      <c r="G33" s="34">
        <f>1536/(250*TAN(RADIANS(C40/2))*2)</f>
        <v>20.55523196411108</v>
      </c>
      <c r="H33" s="34">
        <f>1536/(500*TAN(RADIANS(C40/2))*2)</f>
        <v>10.27761598205554</v>
      </c>
      <c r="I33" s="35">
        <f>1536/(1500*TAN(RADIANS(C40/2))*2)</f>
        <v>3.4258719940185132</v>
      </c>
    </row>
    <row r="34" spans="2:10" x14ac:dyDescent="0.2">
      <c r="B34" s="4" t="s">
        <v>35</v>
      </c>
      <c r="C34" s="29">
        <f>1512/(20*TAN(RADIANS(C40/2))*2)</f>
        <v>252.92570580839805</v>
      </c>
      <c r="D34" s="29">
        <f>1512/(40*TAN(RADIANS(C40/2))*2)</f>
        <v>126.46285290419902</v>
      </c>
      <c r="E34" s="29">
        <f>1512/(80*TAN(RADIANS(C40/2))*2)</f>
        <v>63.231426452099512</v>
      </c>
      <c r="F34" s="29">
        <f>1512/(125*TAN(RADIANS(C40/2))*2)</f>
        <v>40.46811292934369</v>
      </c>
      <c r="G34" s="29">
        <f>1512/(250*TAN(RADIANS(C40/2))*2)</f>
        <v>20.234056464671845</v>
      </c>
      <c r="H34" s="29">
        <f>1512/(500*TAN(RADIANS(C40/2))*2)</f>
        <v>10.117028232335922</v>
      </c>
      <c r="I34" s="30">
        <f>1512/(1500*TAN(RADIANS(C40/2))*2)</f>
        <v>3.372342744111974</v>
      </c>
    </row>
    <row r="35" spans="2:10" x14ac:dyDescent="0.2">
      <c r="B35" s="16" t="s">
        <v>36</v>
      </c>
      <c r="C35" s="34">
        <f>1944/(20*TAN(RADIANS(C40/2))*2)</f>
        <v>325.19019318222604</v>
      </c>
      <c r="D35" s="34">
        <f>1944/(40*TAN(RADIANS(C40/2))*2)</f>
        <v>162.59509659111302</v>
      </c>
      <c r="E35" s="34">
        <f>1944/(80*TAN(RADIANS(C40/2))*2)</f>
        <v>81.29754829555651</v>
      </c>
      <c r="F35" s="34">
        <f>1944/(125*TAN(RADIANS(C40/2))*2)</f>
        <v>52.030430909156173</v>
      </c>
      <c r="G35" s="34">
        <f>1944/(250*TAN(RADIANS(C40/2))*2)</f>
        <v>26.015215454578087</v>
      </c>
      <c r="H35" s="34">
        <f>1944/(500*TAN(RADIANS(C40/2))*2)</f>
        <v>13.007607727289043</v>
      </c>
      <c r="I35" s="35">
        <f>1944/(1500*TAN(RADIANS(C40/2))*2)</f>
        <v>4.3358692424296805</v>
      </c>
    </row>
    <row r="36" spans="2:10" ht="17" thickBot="1" x14ac:dyDescent="0.25">
      <c r="B36" s="6" t="s">
        <v>37</v>
      </c>
      <c r="C36" s="31">
        <f>2160/(20*TAN(RADIANS(C40/2))*2)</f>
        <v>361.32243686914006</v>
      </c>
      <c r="D36" s="31">
        <f>2160/(40*TAN(RADIANS(C40/2))*2)</f>
        <v>180.66121843457003</v>
      </c>
      <c r="E36" s="31">
        <f>2160/(80*TAN(RADIANS(C40/2))*2)</f>
        <v>90.330609217285016</v>
      </c>
      <c r="F36" s="31">
        <f>2160/(125*TAN(RADIANS(C40/2))*2)</f>
        <v>57.811589899062412</v>
      </c>
      <c r="G36" s="31">
        <f>2160/(250*TAN(RADIANS(C40/2))*2)</f>
        <v>28.905794949531206</v>
      </c>
      <c r="H36" s="31">
        <f>2160/(500*TAN(RADIANS(C40/2))*2)</f>
        <v>14.452897474765603</v>
      </c>
      <c r="I36" s="32">
        <f>2160/(1500*TAN(RADIANS(C40/2))*2)</f>
        <v>4.817632491588534</v>
      </c>
    </row>
    <row r="40" spans="2:10" x14ac:dyDescent="0.2">
      <c r="B40" s="52">
        <v>5</v>
      </c>
      <c r="C40" s="52" cm="1">
        <f t="array" ref="C40">_xlfn.SWITCH(B40,1,60,2,50,3,33,4,25,5,17,6,8.5,7,4.5)</f>
        <v>17</v>
      </c>
    </row>
    <row r="43" spans="2:10" ht="22" x14ac:dyDescent="0.3">
      <c r="B43" s="3" t="str">
        <f>IF(I1="DEUTSCH","Vergleich IEC 62676-4:2015 zu IEC 62676-4:2024","Comparizon IEC62676-4:2015 vs. IEC62676-4:2024")</f>
        <v>Vergleich IEC 62676-4:2015 zu IEC 62676-4:2024</v>
      </c>
    </row>
    <row r="44" spans="2:10" ht="17" thickBot="1" x14ac:dyDescent="0.25"/>
    <row r="45" spans="2:10" x14ac:dyDescent="0.2">
      <c r="B45" s="43" t="s">
        <v>16</v>
      </c>
      <c r="C45" s="115" t="str">
        <f>IF(I1="DEUTSCH","Übersicht","Overview")</f>
        <v>Übersicht</v>
      </c>
      <c r="D45" s="116"/>
      <c r="E45" s="44" t="str">
        <f>IF(I1="DEUTSCH","Umriss","Outline")</f>
        <v>Umriss</v>
      </c>
      <c r="F45" s="45" t="str">
        <f>IF(I1="DEUTSCH","Erkennen","Discern")</f>
        <v>Erkennen</v>
      </c>
      <c r="G45" s="44" t="str">
        <f>IF(I1="DEUTSCH","Wahrnehmen","Perceive")</f>
        <v>Wahrnehmen</v>
      </c>
      <c r="H45" s="45" t="str">
        <f>IF(I1="DEUTSCH","Charakterisieren","Characterise")</f>
        <v>Charakterisieren</v>
      </c>
      <c r="I45" s="44" t="str">
        <f>IF(I1="DEUTSCH","Validieren","Validate")</f>
        <v>Validieren</v>
      </c>
      <c r="J45" s="46" t="str">
        <f>IF(I1="DEUTSCH","Überprüfen","Scrutinise")</f>
        <v>Überprüfen</v>
      </c>
    </row>
    <row r="46" spans="2:10" x14ac:dyDescent="0.2">
      <c r="B46" s="16" t="str">
        <f>IF(I1="DEUTSCH","Pixeldichte (Pixel/Meter)","Pixel density (Pixel/Meter)")</f>
        <v>Pixeldichte (Pixel/Meter)</v>
      </c>
      <c r="C46" s="117">
        <v>20</v>
      </c>
      <c r="D46" s="118"/>
      <c r="E46" s="17">
        <v>40</v>
      </c>
      <c r="F46" s="47">
        <v>80</v>
      </c>
      <c r="G46" s="17">
        <v>125</v>
      </c>
      <c r="H46" s="47">
        <v>250</v>
      </c>
      <c r="I46" s="17">
        <v>500</v>
      </c>
      <c r="J46" s="48">
        <v>1500</v>
      </c>
    </row>
    <row r="47" spans="2:10" x14ac:dyDescent="0.2">
      <c r="B47" s="16"/>
      <c r="C47" s="49"/>
      <c r="D47" s="50"/>
      <c r="E47" s="49"/>
      <c r="F47" s="50"/>
      <c r="G47" s="49"/>
      <c r="H47" s="50"/>
      <c r="I47" s="49"/>
      <c r="J47" s="51"/>
    </row>
    <row r="48" spans="2:10" x14ac:dyDescent="0.2">
      <c r="B48" s="41" t="s">
        <v>17</v>
      </c>
      <c r="C48" s="39" t="str">
        <f>IF(I1="DEUTSCH","Überwachen","Monitor")</f>
        <v>Überwachen</v>
      </c>
      <c r="D48" s="39" t="str">
        <f>IF(I1="DEUTSCH","Detektieren","Detect")</f>
        <v>Detektieren</v>
      </c>
      <c r="E48" s="107" t="str">
        <f>IF(I1="DEUTSCH","Beobachten","Observe")</f>
        <v>Beobachten</v>
      </c>
      <c r="F48" s="108"/>
      <c r="G48" s="39" t="str">
        <f>IF(I1="DEUTSCH","Erkennen","Recognise")</f>
        <v>Erkennen</v>
      </c>
      <c r="H48" s="42" t="str">
        <f>IF(I1="DEUTSCH","Identifizieren","Identify")</f>
        <v>Identifizieren</v>
      </c>
      <c r="I48" s="110" t="str">
        <f>IF(I1="DEUTSCH","Überprüfen","Inspect")</f>
        <v>Überprüfen</v>
      </c>
      <c r="J48" s="111"/>
    </row>
    <row r="49" spans="2:10" x14ac:dyDescent="0.2">
      <c r="B49" s="4" t="str">
        <f>IF(I1="DEUTSCH","Detailgrad (mm/Pixel)","Level of detail (mm/Pixel)")</f>
        <v>Detailgrad (mm/Pixel)</v>
      </c>
      <c r="C49" s="40" t="s">
        <v>18</v>
      </c>
      <c r="D49" s="40" t="s">
        <v>19</v>
      </c>
      <c r="E49" s="108" t="s">
        <v>20</v>
      </c>
      <c r="F49" s="108"/>
      <c r="G49" s="40" t="s">
        <v>21</v>
      </c>
      <c r="H49" s="1" t="s">
        <v>22</v>
      </c>
      <c r="I49" s="112" t="s">
        <v>23</v>
      </c>
      <c r="J49" s="111"/>
    </row>
    <row r="50" spans="2:10" ht="17" thickBot="1" x14ac:dyDescent="0.25">
      <c r="B50" s="6" t="str">
        <f>IF(I1="DEUTSCH","Umrechnung in Pixeldichte (ppm)","Conversion in pixel density (ppm)")</f>
        <v>Umrechnung in Pixeldichte (ppm)</v>
      </c>
      <c r="C50" s="22">
        <v>12.5</v>
      </c>
      <c r="D50" s="22">
        <v>25</v>
      </c>
      <c r="E50" s="109">
        <v>62.5</v>
      </c>
      <c r="F50" s="109"/>
      <c r="G50" s="22">
        <v>125</v>
      </c>
      <c r="H50" s="7">
        <v>250</v>
      </c>
      <c r="I50" s="113">
        <v>1000</v>
      </c>
      <c r="J50" s="114"/>
    </row>
  </sheetData>
  <mergeCells count="12">
    <mergeCell ref="E50:F50"/>
    <mergeCell ref="I48:J48"/>
    <mergeCell ref="I49:J49"/>
    <mergeCell ref="I50:J50"/>
    <mergeCell ref="C45:D45"/>
    <mergeCell ref="C46:D46"/>
    <mergeCell ref="E49:F49"/>
    <mergeCell ref="C10:E10"/>
    <mergeCell ref="C9:E9"/>
    <mergeCell ref="F9:I9"/>
    <mergeCell ref="F10:I10"/>
    <mergeCell ref="E48:F48"/>
  </mergeCells>
  <dataValidations count="1">
    <dataValidation type="list" allowBlank="1" showInputMessage="1" showErrorMessage="1" sqref="I1" xr:uid="{563DD2E3-9D52-6F48-8075-F459A1C86364}">
      <formula1>"DEUTSCH,ENGLISH"</formula1>
    </dataValidation>
  </dataValidations>
  <pageMargins left="0.7" right="0.7" top="0.78740157499999996" bottom="0.78740157499999996" header="0.3" footer="0.3"/>
  <pageSetup paperSize="9" orientation="portrait" horizontalDpi="0" verticalDpi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Option Button 1">
              <controlPr locked="0" defaultSize="0" autoFill="0" autoLine="0" autoPict="0">
                <anchor moveWithCells="1">
                  <from>
                    <xdr:col>2</xdr:col>
                    <xdr:colOff>190500</xdr:colOff>
                    <xdr:row>18</xdr:row>
                    <xdr:rowOff>190500</xdr:rowOff>
                  </from>
                  <to>
                    <xdr:col>2</xdr:col>
                    <xdr:colOff>1168400</xdr:colOff>
                    <xdr:row>20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4" name="Option Button 4">
              <controlPr locked="0" defaultSize="0" autoFill="0" autoLine="0" autoPict="0">
                <anchor moveWithCells="1">
                  <from>
                    <xdr:col>3</xdr:col>
                    <xdr:colOff>152400</xdr:colOff>
                    <xdr:row>18</xdr:row>
                    <xdr:rowOff>190500</xdr:rowOff>
                  </from>
                  <to>
                    <xdr:col>3</xdr:col>
                    <xdr:colOff>1054100</xdr:colOff>
                    <xdr:row>20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Option Button 5">
              <controlPr locked="0" defaultSize="0" autoFill="0" autoLine="0" autoPict="0">
                <anchor moveWithCells="1">
                  <from>
                    <xdr:col>4</xdr:col>
                    <xdr:colOff>215900</xdr:colOff>
                    <xdr:row>18</xdr:row>
                    <xdr:rowOff>190500</xdr:rowOff>
                  </from>
                  <to>
                    <xdr:col>4</xdr:col>
                    <xdr:colOff>1155700</xdr:colOff>
                    <xdr:row>20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Option Button 6">
              <controlPr locked="0" defaultSize="0" autoFill="0" autoLine="0" autoPict="0">
                <anchor moveWithCells="1">
                  <from>
                    <xdr:col>5</xdr:col>
                    <xdr:colOff>203200</xdr:colOff>
                    <xdr:row>18</xdr:row>
                    <xdr:rowOff>190500</xdr:rowOff>
                  </from>
                  <to>
                    <xdr:col>5</xdr:col>
                    <xdr:colOff>1028700</xdr:colOff>
                    <xdr:row>20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Option Button 7">
              <controlPr locked="0" defaultSize="0" autoFill="0" autoLine="0" autoPict="0">
                <anchor moveWithCells="1">
                  <from>
                    <xdr:col>6</xdr:col>
                    <xdr:colOff>190500</xdr:colOff>
                    <xdr:row>18</xdr:row>
                    <xdr:rowOff>190500</xdr:rowOff>
                  </from>
                  <to>
                    <xdr:col>6</xdr:col>
                    <xdr:colOff>1054100</xdr:colOff>
                    <xdr:row>20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8" name="Option Button 9">
              <controlPr locked="0" defaultSize="0" autoFill="0" autoLine="0" autoPict="0">
                <anchor moveWithCells="1">
                  <from>
                    <xdr:col>7</xdr:col>
                    <xdr:colOff>190500</xdr:colOff>
                    <xdr:row>18</xdr:row>
                    <xdr:rowOff>190500</xdr:rowOff>
                  </from>
                  <to>
                    <xdr:col>7</xdr:col>
                    <xdr:colOff>1041400</xdr:colOff>
                    <xdr:row>20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9" name="Option Button 10">
              <controlPr locked="0" defaultSize="0" autoFill="0" autoLine="0" autoPict="0">
                <anchor moveWithCells="1">
                  <from>
                    <xdr:col>8</xdr:col>
                    <xdr:colOff>203200</xdr:colOff>
                    <xdr:row>18</xdr:row>
                    <xdr:rowOff>177800</xdr:rowOff>
                  </from>
                  <to>
                    <xdr:col>8</xdr:col>
                    <xdr:colOff>1054100</xdr:colOff>
                    <xdr:row>20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6C653-DB72-0044-8952-6E9D42413309}">
  <dimension ref="B1:R44"/>
  <sheetViews>
    <sheetView showGridLines="0" workbookViewId="0">
      <selection activeCell="N1" sqref="N1"/>
    </sheetView>
  </sheetViews>
  <sheetFormatPr baseColWidth="10" defaultRowHeight="16" x14ac:dyDescent="0.2"/>
  <cols>
    <col min="1" max="1" width="5.1640625" customWidth="1"/>
    <col min="4" max="4" width="10.83203125" customWidth="1"/>
  </cols>
  <sheetData>
    <row r="1" spans="2:18" ht="32" x14ac:dyDescent="0.4">
      <c r="B1" s="38" t="str">
        <f>IF(LG="DEUTSCH","Maximale Erkennungsentfernung für den ActivitySensorONE","Maximum Recognition Distance for the ActivitySensorONE")</f>
        <v>Maximale Erkennungsentfernung für den ActivitySensorONE</v>
      </c>
      <c r="M1" s="80" t="s">
        <v>47</v>
      </c>
      <c r="N1" s="81" t="s">
        <v>46</v>
      </c>
    </row>
    <row r="2" spans="2:18" ht="19" x14ac:dyDescent="0.25">
      <c r="M2" s="37"/>
    </row>
    <row r="7" spans="2:18" ht="24" x14ac:dyDescent="0.3">
      <c r="B7" s="69" t="str">
        <f>IF(LG="DEUTSCH","MOBOTIX ONE Kamera mit Variofokallinse (Weitwinkelobjektiv)","MOBOTIX ONE camera with variofocal lens (wide angle)")</f>
        <v>MOBOTIX ONE Kamera mit Variofokallinse (Weitwinkelobjektiv)</v>
      </c>
      <c r="C7" s="67"/>
      <c r="D7" s="67"/>
      <c r="E7" s="67"/>
      <c r="F7" s="67"/>
      <c r="G7" s="67"/>
      <c r="H7" s="67"/>
      <c r="I7" s="68"/>
      <c r="K7" s="69" t="str">
        <f>IF(N1="DEUTSCH","MOBOTIX ONE Kamera mit Variofokallinse (Teleobjektiv)","MOBOTIX ONE camera with variofocal lens (narrow angle)")</f>
        <v>MOBOTIX ONE Kamera mit Variofokallinse (Teleobjektiv)</v>
      </c>
      <c r="L7" s="65"/>
      <c r="M7" s="65"/>
      <c r="N7" s="65"/>
      <c r="O7" s="65"/>
      <c r="P7" s="65"/>
      <c r="Q7" s="65"/>
      <c r="R7" s="66"/>
    </row>
    <row r="8" spans="2:18" ht="19" x14ac:dyDescent="0.25">
      <c r="B8" s="58" t="str">
        <f>IF(LG="DEUTSCH","Horizontaler Bildwinkelbereich: 112° - 47,5°","Horizontal image angle range: 112° - 47,5°")</f>
        <v>Horizontaler Bildwinkelbereich: 112° - 47,5°</v>
      </c>
      <c r="I8" s="59"/>
      <c r="K8" s="58" t="str">
        <f>IF(LG="DEUTSCH","Horizontaler Bildwinkelbereich: 42° - 15°","Horizontal image angle range: 42° - 15°")</f>
        <v>Horizontaler Bildwinkelbereich: 42° - 15°</v>
      </c>
      <c r="R8" s="59"/>
    </row>
    <row r="9" spans="2:18" ht="19" x14ac:dyDescent="0.25">
      <c r="B9" s="58" t="str">
        <f>IF(LG="DEUTSCH","Vertikaler Bildwinkelbereich: 58° - 26,6°","Vertical image angle range: 58° - 26,6°")</f>
        <v>Vertikaler Bildwinkelbereich: 58° - 26,6°</v>
      </c>
      <c r="I9" s="59"/>
      <c r="K9" s="58" t="str">
        <f>IF(LG="DEUTSCH","Vertikaler Bildwinkelbereich: 22,8° - 8,4°","Vertical image angle range: 22,8° - 8,4°")</f>
        <v>Vertikaler Bildwinkelbereich: 22,8° - 8,4°</v>
      </c>
      <c r="R9" s="59"/>
    </row>
    <row r="10" spans="2:18" x14ac:dyDescent="0.2">
      <c r="B10" s="60"/>
      <c r="I10" s="59"/>
      <c r="K10" s="60"/>
      <c r="R10" s="59"/>
    </row>
    <row r="11" spans="2:18" ht="26" customHeight="1" x14ac:dyDescent="0.2">
      <c r="B11" s="61" t="str">
        <f>IF(LG="DEUTSCH","Zoomlevel auswählen:","Select zoom level:")</f>
        <v>Zoomlevel auswählen:</v>
      </c>
      <c r="I11" s="59"/>
      <c r="K11" s="61" t="str">
        <f>IF(LG="DEUTSCH","Zoomlevel auswählen:","Select zoom level:")</f>
        <v>Zoomlevel auswählen:</v>
      </c>
      <c r="R11" s="59"/>
    </row>
    <row r="12" spans="2:18" x14ac:dyDescent="0.2">
      <c r="B12" s="60"/>
      <c r="I12" s="59"/>
      <c r="K12" s="60"/>
      <c r="R12" s="59"/>
    </row>
    <row r="13" spans="2:18" ht="19" x14ac:dyDescent="0.25">
      <c r="B13" s="58" t="str">
        <f>IF(LG="DEUTSCH","Aktueller Zoomlevel:","Actual zoom level:")</f>
        <v>Aktueller Zoomlevel:</v>
      </c>
      <c r="D13" s="37"/>
      <c r="F13" s="56">
        <v>0</v>
      </c>
      <c r="G13" s="56" t="s">
        <v>45</v>
      </c>
      <c r="I13" s="59"/>
      <c r="K13" s="58" t="str">
        <f>IF(LG="DEUTSCH","Aktueller Zoomlevel:","Actual zoom level:")</f>
        <v>Aktueller Zoomlevel:</v>
      </c>
      <c r="O13" s="56">
        <v>0</v>
      </c>
      <c r="P13" s="56" t="s">
        <v>45</v>
      </c>
      <c r="R13" s="59"/>
    </row>
    <row r="14" spans="2:18" ht="19" x14ac:dyDescent="0.25">
      <c r="B14" s="58" t="str">
        <f>IF(LG="DEUTSCH","Aktueller horizontaler Bildwinkel:","Actual horizontal image angle:")</f>
        <v>Aktueller horizontaler Bildwinkel:</v>
      </c>
      <c r="D14" s="37"/>
      <c r="F14" s="56">
        <f>112-(F13*0.645)</f>
        <v>112</v>
      </c>
      <c r="G14" s="56" t="s">
        <v>44</v>
      </c>
      <c r="I14" s="59"/>
      <c r="K14" s="58" t="str">
        <f>IF(LG="DEUTSCH","Aktueller horizontaler Bildwinkel:","Actual horizontal image angle:")</f>
        <v>Aktueller horizontaler Bildwinkel:</v>
      </c>
      <c r="O14" s="56">
        <f>42-(O13*0.27)</f>
        <v>42</v>
      </c>
      <c r="P14" s="56" t="s">
        <v>44</v>
      </c>
      <c r="R14" s="59"/>
    </row>
    <row r="15" spans="2:18" ht="19" x14ac:dyDescent="0.25">
      <c r="B15" s="58" t="str">
        <f>IF(LG="DEUTSCH","Aktueller vertikaler Bildwinkel:","Actual vertical image angle:")</f>
        <v>Aktueller vertikaler Bildwinkel:</v>
      </c>
      <c r="D15" s="37"/>
      <c r="F15" s="56">
        <f>58-(F13*0.314)</f>
        <v>58</v>
      </c>
      <c r="G15" s="56" t="s">
        <v>44</v>
      </c>
      <c r="I15" s="59"/>
      <c r="K15" s="58" t="str">
        <f>IF(LG="DEUTSCH","Aktueller vertikaler Bildwinkel:","Actual vertical image angle:")</f>
        <v>Aktueller vertikaler Bildwinkel:</v>
      </c>
      <c r="O15" s="56">
        <f>22.8-(O13*0.144)</f>
        <v>22.8</v>
      </c>
      <c r="P15" s="56" t="s">
        <v>44</v>
      </c>
      <c r="R15" s="59"/>
    </row>
    <row r="16" spans="2:18" ht="19" x14ac:dyDescent="0.25">
      <c r="B16" s="60"/>
      <c r="I16" s="59"/>
      <c r="K16" s="58"/>
      <c r="R16" s="59"/>
    </row>
    <row r="17" spans="2:18" x14ac:dyDescent="0.2">
      <c r="B17" s="70"/>
      <c r="C17" s="50"/>
      <c r="D17" s="17"/>
      <c r="E17" s="17"/>
      <c r="F17" s="17" t="str">
        <f>IF(LG="DEUTSCH","Zu erkennendes Objekt*","Object to be recognised*")</f>
        <v>Zu erkennendes Objekt*</v>
      </c>
      <c r="G17" s="50"/>
      <c r="H17" s="50"/>
      <c r="I17" s="71"/>
      <c r="K17" s="70"/>
      <c r="L17" s="50"/>
      <c r="M17" s="17"/>
      <c r="N17" s="17"/>
      <c r="O17" s="17" t="str">
        <f>IF(LG="DEUTSCH","Zu erkennendes Objekt*","Object to be recognised*")</f>
        <v>Zu erkennendes Objekt*</v>
      </c>
      <c r="P17" s="50"/>
      <c r="Q17" s="50"/>
      <c r="R17" s="71"/>
    </row>
    <row r="18" spans="2:18" s="55" customFormat="1" ht="40" customHeight="1" x14ac:dyDescent="0.2">
      <c r="B18" s="72"/>
      <c r="C18" s="73"/>
      <c r="D18" s="73" t="str">
        <f>IF(LG="DEUTSCH","Erwachsene Person","Adult person")</f>
        <v>Erwachsene Person</v>
      </c>
      <c r="E18" s="73" t="str">
        <f>IF(LG="DEUTSCH","Kind","Child")</f>
        <v>Kind</v>
      </c>
      <c r="F18" s="73" t="str">
        <f>IF(LG="DEUTSCH","Pkw","Car")</f>
        <v>Pkw</v>
      </c>
      <c r="G18" s="73" t="str">
        <f>IF(LG="DEUTSCH","Lkw frontal","Truck frontal")</f>
        <v>Lkw frontal</v>
      </c>
      <c r="H18" s="73" t="str">
        <f>IF(LG="DEUTSCH","Lkw seitlich","Truck side")</f>
        <v>Lkw seitlich</v>
      </c>
      <c r="I18" s="74"/>
      <c r="K18" s="72"/>
      <c r="L18" s="73"/>
      <c r="M18" s="73" t="str">
        <f>IF(LG="DEUTSCH","Erwachsene Person","Adult person")</f>
        <v>Erwachsene Person</v>
      </c>
      <c r="N18" s="73" t="str">
        <f>IF(LG="DEUTSCH","Kind","Child")</f>
        <v>Kind</v>
      </c>
      <c r="O18" s="73" t="str">
        <f>IF(LG="DEUTSCH","Pkw","Car")</f>
        <v>Pkw</v>
      </c>
      <c r="P18" s="73" t="str">
        <f>IF(LG="DEUTSCH","Lkw frontal","Truck frontal")</f>
        <v>Lkw frontal</v>
      </c>
      <c r="Q18" s="73" t="str">
        <f>IF(LG="DEUTSCH","Lkw seitlich","Truck side")</f>
        <v>Lkw seitlich</v>
      </c>
      <c r="R18" s="74"/>
    </row>
    <row r="19" spans="2:18" x14ac:dyDescent="0.2">
      <c r="B19" s="60" t="str">
        <f>IF(LG="DEUTSCH","Max. Entfernung (m):","Max. distance (m):")</f>
        <v>Max. Entfernung (m):</v>
      </c>
      <c r="D19" s="42">
        <f>ROUND(MIN((480*1.7)/(2*TAN(RADIANS(F15/2))*10),(640*0.6)/(2*TAN(RADIANS(F14/2))*5)),1)</f>
        <v>25.9</v>
      </c>
      <c r="E19" s="42">
        <f>ROUND(MIN((480*1)/(2*TAN(RADIANS(F15/2))*10),(640*0.4)/(2*TAN(RADIANS(F14/2))*5)),1)</f>
        <v>17.3</v>
      </c>
      <c r="F19" s="42">
        <f>ROUND(MIN((480*1.55)/(2*TAN(RADIANS(F15/2))*10),(640*1.8)/(2*TAN(RADIANS(F14/2))*5)),1)</f>
        <v>67.099999999999994</v>
      </c>
      <c r="G19" s="42">
        <f>ROUND(MIN((480*2.8)/(2*TAN(RADIANS(F15/2))*10),(640*2.1)/(2*TAN(RADIANS(F14/2))*5)),1)</f>
        <v>90.7</v>
      </c>
      <c r="H19" s="42">
        <f>ROUND(MIN((480*2.8)/(2*TAN(RADIANS(F15/2))*10),(640*6)/(2*TAN(RADIANS(F14/2))*5)),1)</f>
        <v>121.2</v>
      </c>
      <c r="I19" s="24"/>
      <c r="K19" s="60" t="str">
        <f>IF(LG="DEUTSCH","Max. Entfernung (m):","Max. distance (m):")</f>
        <v>Max. Entfernung (m):</v>
      </c>
      <c r="M19" s="42">
        <f>ROUND(MIN((480*1.7)/(2*TAN(RADIANS(O15/2))*10),(640*0.6)/(2*TAN(RADIANS(O14/2))*5)),1)</f>
        <v>100</v>
      </c>
      <c r="N19" s="42">
        <f>ROUND(MIN((480*1)/(2*TAN(RADIANS(O15/2))*10),(640*0.4)/(2*TAN(RADIANS(O14/2))*5)),1)</f>
        <v>66.7</v>
      </c>
      <c r="O19" s="42">
        <f>ROUND(MIN((480*1.55)/(2*TAN(RADIANS(O15/2))*10),(640*1.8)/(2*TAN(RADIANS(O14/2))*5)),1)</f>
        <v>184.5</v>
      </c>
      <c r="P19" s="42">
        <f>ROUND(MIN((480*2.8)/(2*TAN(RADIANS(O15/2))*10),(640*2.1)/(2*TAN(RADIANS(O14/2))*5)),1)</f>
        <v>333.3</v>
      </c>
      <c r="Q19" s="42">
        <f>ROUND(MIN((480*2.8)/(2*TAN(RADIANS(O15/2))*10),(640*6)/(2*TAN(RADIANS(O14/2))*5)),1)</f>
        <v>333.3</v>
      </c>
      <c r="R19" s="59"/>
    </row>
    <row r="20" spans="2:18" x14ac:dyDescent="0.2">
      <c r="B20" s="62"/>
      <c r="C20" s="63"/>
      <c r="D20" s="63"/>
      <c r="E20" s="63"/>
      <c r="F20" s="63"/>
      <c r="G20" s="63"/>
      <c r="H20" s="63"/>
      <c r="I20" s="64"/>
      <c r="K20" s="62"/>
      <c r="L20" s="63"/>
      <c r="M20" s="63"/>
      <c r="N20" s="63"/>
      <c r="O20" s="63"/>
      <c r="P20" s="63"/>
      <c r="Q20" s="63"/>
      <c r="R20" s="64"/>
    </row>
    <row r="23" spans="2:18" ht="17" thickBot="1" x14ac:dyDescent="0.25"/>
    <row r="24" spans="2:18" ht="24" x14ac:dyDescent="0.3">
      <c r="B24" s="76" t="str">
        <f>IF(LG="DEUTSCH","MOBOTIX ONE und Mx 7 Kamera mit Festbrennweiten (Objektiv ohne optischen Zoom)","MOBOTIX ONE and Mx 7 camera mit fix focal length (lens without zoom)")</f>
        <v>MOBOTIX ONE und Mx 7 Kamera mit Festbrennweiten (Objektiv ohne optischen Zoom)</v>
      </c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125"/>
      <c r="Q24" s="126"/>
    </row>
    <row r="25" spans="2:18" x14ac:dyDescent="0.2">
      <c r="B25" s="4"/>
      <c r="P25" s="121"/>
      <c r="Q25" s="111"/>
    </row>
    <row r="26" spans="2:18" ht="19" x14ac:dyDescent="0.25">
      <c r="B26" s="78"/>
      <c r="C26" s="89"/>
      <c r="D26" s="139" t="s">
        <v>13</v>
      </c>
      <c r="E26" s="139"/>
      <c r="F26" s="139" t="s">
        <v>12</v>
      </c>
      <c r="G26" s="139"/>
      <c r="H26" s="139" t="s">
        <v>11</v>
      </c>
      <c r="I26" s="139"/>
      <c r="J26" s="139" t="s">
        <v>10</v>
      </c>
      <c r="K26" s="139"/>
      <c r="L26" s="139" t="s">
        <v>6</v>
      </c>
      <c r="M26" s="139"/>
      <c r="N26" s="139" t="s">
        <v>8</v>
      </c>
      <c r="O26" s="139"/>
      <c r="P26" s="127" t="s">
        <v>49</v>
      </c>
      <c r="Q26" s="128"/>
    </row>
    <row r="27" spans="2:18" ht="19" x14ac:dyDescent="0.25">
      <c r="B27" s="133" t="str">
        <f>IF(LG="DEUTSCH","Öffnungswinkel HxV:","Opening angle HxV:")</f>
        <v>Öffnungswinkel HxV:</v>
      </c>
      <c r="C27" s="134"/>
      <c r="D27" s="129" t="s">
        <v>2</v>
      </c>
      <c r="E27" s="142"/>
      <c r="F27" s="143" t="s">
        <v>3</v>
      </c>
      <c r="G27" s="143"/>
      <c r="H27" s="129" t="s">
        <v>4</v>
      </c>
      <c r="I27" s="142"/>
      <c r="J27" s="143" t="s">
        <v>5</v>
      </c>
      <c r="K27" s="143"/>
      <c r="L27" s="129" t="s">
        <v>7</v>
      </c>
      <c r="M27" s="142"/>
      <c r="N27" s="143" t="s">
        <v>9</v>
      </c>
      <c r="O27" s="143"/>
      <c r="P27" s="129" t="s">
        <v>55</v>
      </c>
      <c r="Q27" s="130"/>
    </row>
    <row r="28" spans="2:18" ht="19" x14ac:dyDescent="0.25">
      <c r="B28" s="135" t="str">
        <f>IF(LG="DEUTSCH","Brennweite","Focal length")</f>
        <v>Brennweite</v>
      </c>
      <c r="C28" s="136"/>
      <c r="D28" s="131" t="s">
        <v>38</v>
      </c>
      <c r="E28" s="140"/>
      <c r="F28" s="141" t="s">
        <v>39</v>
      </c>
      <c r="G28" s="141"/>
      <c r="H28" s="131" t="s">
        <v>40</v>
      </c>
      <c r="I28" s="140"/>
      <c r="J28" s="141" t="s">
        <v>41</v>
      </c>
      <c r="K28" s="141"/>
      <c r="L28" s="131" t="s">
        <v>42</v>
      </c>
      <c r="M28" s="140"/>
      <c r="N28" s="141" t="s">
        <v>43</v>
      </c>
      <c r="O28" s="141"/>
      <c r="P28" s="131" t="s">
        <v>51</v>
      </c>
      <c r="Q28" s="132"/>
    </row>
    <row r="29" spans="2:18" ht="19" x14ac:dyDescent="0.25">
      <c r="B29" s="137" t="str">
        <f>IF(LG="DEUTSCH","Objektiv auswählen:","Select lens:")</f>
        <v>Objektiv auswählen:</v>
      </c>
      <c r="C29" s="138"/>
      <c r="D29" s="123"/>
      <c r="E29" s="144"/>
      <c r="F29" s="145"/>
      <c r="G29" s="145"/>
      <c r="H29" s="123"/>
      <c r="I29" s="144"/>
      <c r="J29" s="145"/>
      <c r="K29" s="145"/>
      <c r="L29" s="123"/>
      <c r="M29" s="144"/>
      <c r="N29" s="145"/>
      <c r="O29" s="145"/>
      <c r="P29" s="123"/>
      <c r="Q29" s="124"/>
    </row>
    <row r="30" spans="2:18" x14ac:dyDescent="0.2">
      <c r="B30" s="4"/>
      <c r="P30" s="121"/>
      <c r="Q30" s="111"/>
    </row>
    <row r="31" spans="2:18" x14ac:dyDescent="0.2">
      <c r="B31" s="4" t="str">
        <f>IF(LG="DEUTSCH","Aktueller horizontaler Bildwinkel:","Actual horizontal image angle:")</f>
        <v>Aktueller horizontaler Bildwinkel:</v>
      </c>
      <c r="E31" s="99" cm="1">
        <f t="array" ref="E31">_xlfn.SWITCH(B33,1,120,2,95,3,60,4,45,5,30,6,15,7,8)</f>
        <v>30</v>
      </c>
      <c r="P31" s="121"/>
      <c r="Q31" s="111"/>
    </row>
    <row r="32" spans="2:18" x14ac:dyDescent="0.2">
      <c r="B32" s="4" t="str">
        <f>IF(LG="DEUTSCH","Aktueller vertikaler Bildwinkel:","Actual vertical image angle:")</f>
        <v>Aktueller vertikaler Bildwinkel:</v>
      </c>
      <c r="E32" s="99" cm="1">
        <f t="array" ref="E32">_xlfn.SWITCH(B33,1,60,2,50,3,33,4,25,5,17,6,8.5,7,4.5)</f>
        <v>17</v>
      </c>
      <c r="P32" s="121"/>
      <c r="Q32" s="111"/>
    </row>
    <row r="33" spans="2:17" x14ac:dyDescent="0.2">
      <c r="B33" s="79">
        <v>5</v>
      </c>
      <c r="C33" s="50"/>
      <c r="D33" s="50"/>
      <c r="E33" s="17"/>
      <c r="F33" s="50"/>
      <c r="G33" s="17" t="str">
        <f>IF(LG="DEUTSCH","Zu erkennendes Objekt*","Object to be recognised*")</f>
        <v>Zu erkennendes Objekt*</v>
      </c>
      <c r="H33" s="50"/>
      <c r="I33" s="50"/>
      <c r="J33" s="50"/>
      <c r="K33" s="50"/>
      <c r="L33" s="50"/>
      <c r="M33" s="50"/>
      <c r="N33" s="50"/>
      <c r="O33" s="50"/>
      <c r="P33" s="119"/>
      <c r="Q33" s="120"/>
    </row>
    <row r="34" spans="2:17" ht="34" x14ac:dyDescent="0.2">
      <c r="B34" s="16"/>
      <c r="C34" s="50"/>
      <c r="D34" s="50"/>
      <c r="E34" s="73" t="str">
        <f>IF(LG="DEUTSCH","Erwachsene Person","Adult person")</f>
        <v>Erwachsene Person</v>
      </c>
      <c r="F34" s="15" t="str">
        <f>IF(LG="DEUTSCH","Kind","Child")</f>
        <v>Kind</v>
      </c>
      <c r="G34" s="15" t="str">
        <f>IF(LG="DEUTSCH","Pkw","Car")</f>
        <v>Pkw</v>
      </c>
      <c r="H34" s="15" t="str">
        <f>IF(LG="DEUTSCH","Lkw frontal","Truck frontal")</f>
        <v>Lkw frontal</v>
      </c>
      <c r="I34" s="15" t="str">
        <f>IF(LG="DEUTSCH","Lkw seitlich","Truck side")</f>
        <v>Lkw seitlich</v>
      </c>
      <c r="J34" s="15"/>
      <c r="K34" s="15"/>
      <c r="L34" s="50"/>
      <c r="M34" s="50"/>
      <c r="N34" s="50"/>
      <c r="O34" s="50"/>
      <c r="P34" s="119"/>
      <c r="Q34" s="120"/>
    </row>
    <row r="35" spans="2:17" x14ac:dyDescent="0.2">
      <c r="B35" s="4" t="str">
        <f>IF(LG="DEUTSCH","Max. Entfernung (m):","Max. distance (m):")</f>
        <v>Max. Entfernung (m):</v>
      </c>
      <c r="E35" s="42">
        <f>ROUND(MIN((480*1.7)/(2*TAN(RADIANS(E32/2))*10),(640*0.6)/(2*TAN(RADIANS(E31/2))*5)),1)</f>
        <v>143.30000000000001</v>
      </c>
      <c r="F35" s="42">
        <f>ROUND(MIN((480*1)/(2*TAN(RADIANS(E32/2))*10),(640*0.4)/(2*TAN(RADIANS(E31/2))*5)),1)</f>
        <v>95.5</v>
      </c>
      <c r="G35" s="42">
        <f>ROUND(MIN((480*1.55)/(2*TAN(RADIANS(E32/2))*10),(640*1.8)/(2*TAN(RADIANS(E31/2))*5)),1)</f>
        <v>248.9</v>
      </c>
      <c r="H35" s="42">
        <f>ROUND(MIN((480*2.8)/(2*TAN(RADIANS(E32/2))*10),(640*2.1)/(2*TAN(RADIANS(E31/2))*5)),1)</f>
        <v>449.6</v>
      </c>
      <c r="I35" s="42">
        <f>ROUND(MIN((480*2.8)/(2*TAN(RADIANS(E32/2))*10),(640*6)/(2*TAN(RADIANS(E31/2))*5)),1)</f>
        <v>449.6</v>
      </c>
      <c r="P35" s="121"/>
      <c r="Q35" s="111"/>
    </row>
    <row r="36" spans="2:17" ht="17" thickBot="1" x14ac:dyDescent="0.25">
      <c r="B36" s="6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122"/>
      <c r="Q36" s="114"/>
    </row>
    <row r="38" spans="2:17" x14ac:dyDescent="0.2">
      <c r="B38" s="53"/>
    </row>
    <row r="40" spans="2:17" x14ac:dyDescent="0.2">
      <c r="B40" s="75" t="str">
        <f>IF(LG="DEUTSCH","*Zugrundeliegende Objektgrößen:","*Underlying object sizes")</f>
        <v>*Zugrundeliegende Objektgrößen:</v>
      </c>
    </row>
    <row r="41" spans="2:17" x14ac:dyDescent="0.2">
      <c r="B41" t="str">
        <f>IF(LG="DEUTSCH","Erwachsene Person: 1,7 groß, 60 cm breit","Adult person: 1.7m tall, 60cm wide")</f>
        <v>Erwachsene Person: 1,7 groß, 60 cm breit</v>
      </c>
    </row>
    <row r="42" spans="2:17" x14ac:dyDescent="0.2">
      <c r="B42" t="str">
        <f>IF(LG="DEUTSCH","Kind: 1m groß, 40 cm breit","Child: 1m tall, 40cm wide")</f>
        <v>Kind: 1m groß, 40 cm breit</v>
      </c>
    </row>
    <row r="43" spans="2:17" x14ac:dyDescent="0.2">
      <c r="B43" t="str">
        <f>IF(LG="DEUTSCH","Pkw: 1,55m hoch 1,8m breit, 4,4m lang (Durchschnittswert 2017)","Car: 1.55m high, 1.8m wide, 4.4m long (average value 2017)")</f>
        <v>Pkw: 1,55m hoch 1,8m breit, 4,4m lang (Durchschnittswert 2017)</v>
      </c>
    </row>
    <row r="44" spans="2:17" x14ac:dyDescent="0.2">
      <c r="B44" t="str">
        <f>IF(LG="DEUTSCH","Lkw: 2,8m hoch, 6m lang, 2,1m breit","Truck: 2.8m high, 6m long, 2.1m wide")</f>
        <v>Lkw: 2,8m hoch, 6m lang, 2,1m breit</v>
      </c>
    </row>
  </sheetData>
  <mergeCells count="40">
    <mergeCell ref="J28:K28"/>
    <mergeCell ref="L28:M28"/>
    <mergeCell ref="N28:O28"/>
    <mergeCell ref="D29:E29"/>
    <mergeCell ref="F29:G29"/>
    <mergeCell ref="H29:I29"/>
    <mergeCell ref="J29:K29"/>
    <mergeCell ref="L29:M29"/>
    <mergeCell ref="N29:O29"/>
    <mergeCell ref="H28:I28"/>
    <mergeCell ref="J26:K26"/>
    <mergeCell ref="L26:M26"/>
    <mergeCell ref="N26:O26"/>
    <mergeCell ref="D27:E27"/>
    <mergeCell ref="F27:G27"/>
    <mergeCell ref="H27:I27"/>
    <mergeCell ref="J27:K27"/>
    <mergeCell ref="L27:M27"/>
    <mergeCell ref="N27:O27"/>
    <mergeCell ref="H26:I26"/>
    <mergeCell ref="B27:C27"/>
    <mergeCell ref="B28:C28"/>
    <mergeCell ref="B29:C29"/>
    <mergeCell ref="D26:E26"/>
    <mergeCell ref="F26:G26"/>
    <mergeCell ref="D28:E28"/>
    <mergeCell ref="F28:G28"/>
    <mergeCell ref="P24:Q24"/>
    <mergeCell ref="P25:Q25"/>
    <mergeCell ref="P26:Q26"/>
    <mergeCell ref="P27:Q27"/>
    <mergeCell ref="P28:Q28"/>
    <mergeCell ref="P34:Q34"/>
    <mergeCell ref="P35:Q35"/>
    <mergeCell ref="P36:Q36"/>
    <mergeCell ref="P29:Q29"/>
    <mergeCell ref="P30:Q30"/>
    <mergeCell ref="P31:Q31"/>
    <mergeCell ref="P32:Q32"/>
    <mergeCell ref="P33:Q33"/>
  </mergeCells>
  <dataValidations count="1">
    <dataValidation type="list" allowBlank="1" showInputMessage="1" showErrorMessage="1" sqref="N1" xr:uid="{9360F4A1-2ECC-F14D-8970-5B8FD0355907}">
      <formula1>"DEUTSCH,ENGLISH"</formula1>
    </dataValidation>
  </dataValidations>
  <pageMargins left="0.7" right="0.7" top="0.78740157499999996" bottom="0.78740157499999996" header="0.3" footer="0.3"/>
  <pageSetup paperSize="9" orientation="portrait" horizontalDpi="0" verticalDpi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3" name="Scroll Bar 2">
              <controlPr defaultSize="0" autoPict="0">
                <anchor moveWithCells="1">
                  <from>
                    <xdr:col>12</xdr:col>
                    <xdr:colOff>508000</xdr:colOff>
                    <xdr:row>10</xdr:row>
                    <xdr:rowOff>0</xdr:rowOff>
                  </from>
                  <to>
                    <xdr:col>16</xdr:col>
                    <xdr:colOff>431800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4" name="Option Button 3">
              <controlPr defaultSize="0" autoFill="0" autoLine="0" autoPict="0">
                <anchor moveWithCells="1">
                  <from>
                    <xdr:col>3</xdr:col>
                    <xdr:colOff>431800</xdr:colOff>
                    <xdr:row>27</xdr:row>
                    <xdr:rowOff>165100</xdr:rowOff>
                  </from>
                  <to>
                    <xdr:col>4</xdr:col>
                    <xdr:colOff>584200</xdr:colOff>
                    <xdr:row>29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5" name="Option Button 4">
              <controlPr defaultSize="0" autoFill="0" autoLine="0" autoPict="0">
                <anchor moveWithCells="1">
                  <from>
                    <xdr:col>5</xdr:col>
                    <xdr:colOff>482600</xdr:colOff>
                    <xdr:row>27</xdr:row>
                    <xdr:rowOff>165100</xdr:rowOff>
                  </from>
                  <to>
                    <xdr:col>6</xdr:col>
                    <xdr:colOff>558800</xdr:colOff>
                    <xdr:row>29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6" name="Option Button 5">
              <controlPr defaultSize="0" autoFill="0" autoLine="0" autoPict="0">
                <anchor moveWithCells="1">
                  <from>
                    <xdr:col>7</xdr:col>
                    <xdr:colOff>520700</xdr:colOff>
                    <xdr:row>27</xdr:row>
                    <xdr:rowOff>165100</xdr:rowOff>
                  </from>
                  <to>
                    <xdr:col>8</xdr:col>
                    <xdr:colOff>635000</xdr:colOff>
                    <xdr:row>29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7" name="Option Button 6">
              <controlPr defaultSize="0" autoFill="0" autoLine="0" autoPict="0">
                <anchor moveWithCells="1">
                  <from>
                    <xdr:col>9</xdr:col>
                    <xdr:colOff>533400</xdr:colOff>
                    <xdr:row>27</xdr:row>
                    <xdr:rowOff>165100</xdr:rowOff>
                  </from>
                  <to>
                    <xdr:col>10</xdr:col>
                    <xdr:colOff>533400</xdr:colOff>
                    <xdr:row>29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8" name="Option Button 7">
              <controlPr defaultSize="0" autoFill="0" autoLine="0" autoPict="0">
                <anchor moveWithCells="1">
                  <from>
                    <xdr:col>11</xdr:col>
                    <xdr:colOff>520700</xdr:colOff>
                    <xdr:row>27</xdr:row>
                    <xdr:rowOff>165100</xdr:rowOff>
                  </from>
                  <to>
                    <xdr:col>12</xdr:col>
                    <xdr:colOff>558800</xdr:colOff>
                    <xdr:row>29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" r:id="rId9" name="Scroll Bar 1">
              <controlPr defaultSize="0" autoPict="0">
                <anchor moveWithCells="1">
                  <from>
                    <xdr:col>3</xdr:col>
                    <xdr:colOff>482600</xdr:colOff>
                    <xdr:row>10</xdr:row>
                    <xdr:rowOff>12700</xdr:rowOff>
                  </from>
                  <to>
                    <xdr:col>7</xdr:col>
                    <xdr:colOff>457200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0" name="Option Button 8">
              <controlPr defaultSize="0" autoFill="0" autoLine="0" autoPict="0">
                <anchor moveWithCells="1">
                  <from>
                    <xdr:col>13</xdr:col>
                    <xdr:colOff>482600</xdr:colOff>
                    <xdr:row>27</xdr:row>
                    <xdr:rowOff>165100</xdr:rowOff>
                  </from>
                  <to>
                    <xdr:col>14</xdr:col>
                    <xdr:colOff>508000</xdr:colOff>
                    <xdr:row>29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1" name="Option Button 9">
              <controlPr defaultSize="0" autoFill="0" autoLine="0" autoPict="0">
                <anchor moveWithCells="1">
                  <from>
                    <xdr:col>15</xdr:col>
                    <xdr:colOff>457200</xdr:colOff>
                    <xdr:row>27</xdr:row>
                    <xdr:rowOff>165100</xdr:rowOff>
                  </from>
                  <to>
                    <xdr:col>16</xdr:col>
                    <xdr:colOff>482600</xdr:colOff>
                    <xdr:row>29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1A51C-97AF-D247-9820-A0706DD39423}">
  <dimension ref="B1:J47"/>
  <sheetViews>
    <sheetView showGridLines="0" zoomScaleNormal="100" workbookViewId="0">
      <selection activeCell="H1" sqref="H1"/>
    </sheetView>
  </sheetViews>
  <sheetFormatPr baseColWidth="10" defaultRowHeight="16" x14ac:dyDescent="0.2"/>
  <cols>
    <col min="1" max="1" width="2" customWidth="1"/>
    <col min="2" max="2" width="32.1640625" customWidth="1"/>
    <col min="3" max="9" width="21.83203125" customWidth="1"/>
    <col min="10" max="10" width="23.5" customWidth="1"/>
  </cols>
  <sheetData>
    <row r="1" spans="2:10" ht="32" x14ac:dyDescent="0.4">
      <c r="B1" s="38" t="str">
        <f>IF(H1="DEUTSCH","Berechnung der Distanzen für die Kennzeichenerkennung","Calculation of the distances for license plate recognition")</f>
        <v>Berechnung der Distanzen für die Kennzeichenerkennung</v>
      </c>
      <c r="G1" s="100" t="s">
        <v>47</v>
      </c>
      <c r="H1" s="50" t="s">
        <v>46</v>
      </c>
    </row>
    <row r="2" spans="2:10" ht="19" x14ac:dyDescent="0.25">
      <c r="B2" s="37" t="str">
        <f>IF(H1="DEUTSCH","basierend auf der technischen Anforderung der Mindest- und Maximalmenge von Pixeln pro Zeichenhöhe","based on the technical requirement of the minimum and maximum number of pixels per character height")</f>
        <v>basierend auf der technischen Anforderung der Mindest- und Maximalmenge von Pixeln pro Zeichenhöhe</v>
      </c>
    </row>
    <row r="4" spans="2:10" x14ac:dyDescent="0.2">
      <c r="B4" s="36" t="str">
        <f>IF(H1="DEUTSCH","Mindestmenge","Minimum number")</f>
        <v>Mindestmenge</v>
      </c>
      <c r="C4" s="1">
        <v>14</v>
      </c>
      <c r="D4" t="str">
        <f>IF(H1="DEUTSCH","Pixel / Zeichen","Pixel / Character")</f>
        <v>Pixel / Zeichen</v>
      </c>
    </row>
    <row r="5" spans="2:10" x14ac:dyDescent="0.2">
      <c r="B5" s="36" t="str">
        <f>IF(H1="DEUTSCH","Maximalmenge;","Maximum number")</f>
        <v>Maximalmenge;</v>
      </c>
      <c r="C5" s="1">
        <v>70</v>
      </c>
      <c r="D5" t="str">
        <f>IF(H1="DEUTSCH","Pixel / Zeichen","Pixel / Character")</f>
        <v>Pixel / Zeichen</v>
      </c>
    </row>
    <row r="6" spans="2:10" x14ac:dyDescent="0.2">
      <c r="B6" s="36" t="str">
        <f>IF(H1="DEUTSCH","Zeichenhöhe","Character height")</f>
        <v>Zeichenhöhe</v>
      </c>
      <c r="C6" s="1">
        <v>7.4999999999999997E-2</v>
      </c>
      <c r="D6" t="s">
        <v>48</v>
      </c>
    </row>
    <row r="7" spans="2:10" ht="17" thickBot="1" x14ac:dyDescent="0.25"/>
    <row r="8" spans="2:10" ht="20" customHeight="1" x14ac:dyDescent="0.3">
      <c r="B8" s="9" t="str">
        <f>IF(H1="DEUTSCH","ONE + Mx 7 Plattform","ONE + Mx 7 Platform")</f>
        <v>ONE + Mx 7 Plattform</v>
      </c>
      <c r="C8" s="10" t="s">
        <v>13</v>
      </c>
      <c r="D8" s="10" t="s">
        <v>12</v>
      </c>
      <c r="E8" s="10" t="s">
        <v>11</v>
      </c>
      <c r="F8" s="10" t="s">
        <v>10</v>
      </c>
      <c r="G8" s="10" t="s">
        <v>6</v>
      </c>
      <c r="H8" s="11" t="s">
        <v>8</v>
      </c>
      <c r="I8" s="11" t="s">
        <v>49</v>
      </c>
    </row>
    <row r="9" spans="2:10" s="2" customFormat="1" ht="34" customHeight="1" x14ac:dyDescent="0.2">
      <c r="B9" s="12" t="str">
        <f>IF(H1="DEUTSCH","Öffnungswinkel HxV","Viewing angle HxV")</f>
        <v>Öffnungswinkel HxV</v>
      </c>
      <c r="C9" s="23" t="s">
        <v>2</v>
      </c>
      <c r="D9" s="13" t="s">
        <v>3</v>
      </c>
      <c r="E9" s="23" t="s">
        <v>4</v>
      </c>
      <c r="F9" s="13" t="s">
        <v>5</v>
      </c>
      <c r="G9" s="23" t="s">
        <v>7</v>
      </c>
      <c r="H9" s="82" t="s">
        <v>9</v>
      </c>
      <c r="I9" s="82" t="s">
        <v>50</v>
      </c>
    </row>
    <row r="10" spans="2:10" s="2" customFormat="1" ht="20" customHeight="1" x14ac:dyDescent="0.2">
      <c r="B10" s="18" t="str">
        <f>IF(H1="DEUTSCH","Brennweite","Focal length")</f>
        <v>Brennweite</v>
      </c>
      <c r="C10" s="21" t="s">
        <v>38</v>
      </c>
      <c r="D10" s="15" t="s">
        <v>39</v>
      </c>
      <c r="E10" s="21" t="s">
        <v>40</v>
      </c>
      <c r="F10" s="15" t="s">
        <v>41</v>
      </c>
      <c r="G10" s="21" t="s">
        <v>42</v>
      </c>
      <c r="H10" s="19" t="s">
        <v>43</v>
      </c>
      <c r="I10" s="19" t="s">
        <v>51</v>
      </c>
    </row>
    <row r="11" spans="2:10" ht="20" customHeight="1" thickBot="1" x14ac:dyDescent="0.25">
      <c r="B11" s="6" t="str">
        <f>IF(H1="DEUTSCH","Objektiv auswählen :","Select lens :")</f>
        <v>Objektiv auswählen :</v>
      </c>
      <c r="C11" s="22"/>
      <c r="D11" s="7"/>
      <c r="E11" s="22"/>
      <c r="F11" s="7"/>
      <c r="G11" s="22"/>
      <c r="H11" s="8"/>
      <c r="I11" s="8"/>
    </row>
    <row r="12" spans="2:10" x14ac:dyDescent="0.2">
      <c r="C12" s="1"/>
      <c r="D12" s="1"/>
      <c r="E12" s="1"/>
      <c r="F12" s="1"/>
      <c r="G12" s="1"/>
      <c r="H12" s="1"/>
      <c r="I12" s="1"/>
      <c r="J12" s="1"/>
    </row>
    <row r="13" spans="2:10" ht="17" thickBot="1" x14ac:dyDescent="0.25"/>
    <row r="14" spans="2:10" x14ac:dyDescent="0.2">
      <c r="B14" s="33"/>
      <c r="C14" s="10" t="str">
        <f>IF(H1="DEUTSCH","Mindestdistanz (m)","Minimum distance (m)")</f>
        <v>Mindestdistanz (m)</v>
      </c>
      <c r="D14" s="11" t="str">
        <f>IF(H1="DEUTSCH","Maximaldistanz (m)","Maximum distance (m)")</f>
        <v>Maximaldistanz (m)</v>
      </c>
      <c r="E14" s="85"/>
      <c r="F14" s="85"/>
      <c r="G14" s="85"/>
      <c r="H14" s="85"/>
      <c r="I14" s="85"/>
    </row>
    <row r="15" spans="2:10" x14ac:dyDescent="0.2">
      <c r="B15" s="4" t="str">
        <f>IF(H1="DEUTSCH","Bildgröße / Entfernung (m)","Image size / distance")</f>
        <v>Bildgröße / Entfernung (m)</v>
      </c>
      <c r="C15" s="1"/>
      <c r="D15" s="5"/>
      <c r="E15" s="84"/>
      <c r="F15" s="84"/>
      <c r="G15" s="84"/>
      <c r="H15" s="84"/>
      <c r="I15" s="84"/>
    </row>
    <row r="16" spans="2:10" x14ac:dyDescent="0.2">
      <c r="B16" s="16" t="s">
        <v>28</v>
      </c>
      <c r="C16" s="34">
        <f>480*Ch/(2*TAN(RADIANS(C24/2))*Pmax)</f>
        <v>0.86809973723774891</v>
      </c>
      <c r="D16" s="35">
        <f>480*Ch/(2*TAN(RADIANS(C24/2))*Pmin)</f>
        <v>4.3404986861887442</v>
      </c>
      <c r="E16" s="83"/>
      <c r="F16" s="83"/>
      <c r="G16" s="83"/>
      <c r="H16" s="83"/>
      <c r="I16" s="83"/>
    </row>
    <row r="17" spans="2:10" x14ac:dyDescent="0.2">
      <c r="B17" s="4" t="s">
        <v>29</v>
      </c>
      <c r="C17" s="83">
        <f>600*Ch/(2*TAN(RADIANS(C24/2))*Pmax)</f>
        <v>1.0851246715471863</v>
      </c>
      <c r="D17" s="30">
        <f>600*Ch/(2*TAN(RADIANS(C24/2))*Pmin)</f>
        <v>5.4256233577359305</v>
      </c>
      <c r="E17" s="83"/>
      <c r="F17" s="83"/>
      <c r="G17" s="83"/>
      <c r="H17" s="83"/>
      <c r="I17" s="83"/>
    </row>
    <row r="18" spans="2:10" x14ac:dyDescent="0.2">
      <c r="B18" s="16" t="s">
        <v>31</v>
      </c>
      <c r="C18" s="34">
        <f>720*Ch/(2*TAN(RADIANS(C24/2))*Pmax)</f>
        <v>1.3021496058566235</v>
      </c>
      <c r="D18" s="35">
        <f>720*Ch/(2*TAN(RADIANS(C24/2))*Pmin)</f>
        <v>6.5107480292831159</v>
      </c>
      <c r="E18" s="83"/>
      <c r="F18" s="83"/>
      <c r="G18" s="83"/>
      <c r="H18" s="83"/>
      <c r="I18" s="83"/>
    </row>
    <row r="19" spans="2:10" x14ac:dyDescent="0.2">
      <c r="B19" s="4" t="s">
        <v>33</v>
      </c>
      <c r="C19" s="29">
        <f>1080*Ch/(2*TAN(RADIANS(C24/2))*Pmax)</f>
        <v>1.9532244087849351</v>
      </c>
      <c r="D19" s="30">
        <f>1080*Ch/(2*TAN(RADIANS(C24/2))*Pmin)</f>
        <v>9.7661220439246748</v>
      </c>
      <c r="E19" s="83"/>
      <c r="F19" s="83"/>
      <c r="G19" s="83"/>
      <c r="H19" s="83"/>
      <c r="I19" s="83"/>
    </row>
    <row r="20" spans="2:10" ht="17" thickBot="1" x14ac:dyDescent="0.25">
      <c r="B20" s="86" t="s">
        <v>37</v>
      </c>
      <c r="C20" s="87">
        <f>2160*Ch/(2*TAN(RADIANS(C24/2))*Pmax)</f>
        <v>3.9064488175698702</v>
      </c>
      <c r="D20" s="88">
        <f>2160*Ch/(2*TAN(RADIANS(C24/2))*Pmin)</f>
        <v>19.53224408784935</v>
      </c>
      <c r="E20" s="83"/>
      <c r="F20" s="83"/>
      <c r="G20" s="83"/>
      <c r="H20" s="83"/>
      <c r="I20" s="83"/>
    </row>
    <row r="24" spans="2:10" x14ac:dyDescent="0.2">
      <c r="B24" s="52">
        <v>3</v>
      </c>
      <c r="C24" s="52" cm="1">
        <f t="array" ref="C24">_xlfn.SWITCH(B24,1,60,2,50,3,33,4,25,5,17,6,8.5,7,4.5)</f>
        <v>33</v>
      </c>
    </row>
    <row r="27" spans="2:10" ht="24" x14ac:dyDescent="0.3">
      <c r="B27" s="69" t="str">
        <f>IF(H1="DEUTSCH","MOBOTIX MOVE VB1A-2-IR-ALPR mit Variofokallinse (Weitwinkelobjektiv)","MOBOTIX MOVE VB1A-2-IR-ALPR with variofocal lens (wide angle)")</f>
        <v>MOBOTIX MOVE VB1A-2-IR-ALPR mit Variofokallinse (Weitwinkelobjektiv)</v>
      </c>
      <c r="C27" s="67"/>
      <c r="D27" s="67"/>
      <c r="E27" s="68"/>
      <c r="F27" s="93"/>
      <c r="G27" s="69" t="str">
        <f>IF(H1="DEUTSCH","MOBOTIX MOVE VB1A-2-IR-D-ALPR mit Variofokallinse (Teleobjektiv)","MOBOTIX MOVE VB1A-2-IR-D-ALPR with variofocal lens (narrow angle)")</f>
        <v>MOBOTIX MOVE VB1A-2-IR-D-ALPR mit Variofokallinse (Teleobjektiv)</v>
      </c>
      <c r="H27" s="67"/>
      <c r="I27" s="67"/>
      <c r="J27" s="68"/>
    </row>
    <row r="28" spans="2:10" ht="19" x14ac:dyDescent="0.25">
      <c r="B28" s="58" t="str">
        <f>IF(H1="DEUTSCH","Horizontaler Bildwinkelbereich: 102,1° - 31,5°","Horizontal range of FoV: 102,1° - 31,5°")</f>
        <v>Horizontaler Bildwinkelbereich: 102,1° - 31,5°</v>
      </c>
      <c r="E28" s="59"/>
      <c r="F28" s="90"/>
      <c r="G28" s="58" t="str">
        <f>IF(H1="DEUTSCH","Horizontaler Bildwinkelbereich: 36,1° - 15,4°","Horizont range of FoV: 36,1° - 15,4°")</f>
        <v>Horizontaler Bildwinkelbereich: 36,1° - 15,4°</v>
      </c>
      <c r="J28" s="59"/>
    </row>
    <row r="29" spans="2:10" ht="19" x14ac:dyDescent="0.25">
      <c r="B29" s="58" t="str">
        <f>IF(H1="DEUTSCH","Vertikaler Bildwinkelbereich: 70,3° - 22,7°","Vertical range of FoV: 70,3° - 22,7°")</f>
        <v>Vertikaler Bildwinkelbereich: 70,3° - 22,7°</v>
      </c>
      <c r="E29" s="59"/>
      <c r="F29" s="90"/>
      <c r="G29" s="58" t="str">
        <f>IF(H1="DEUTSCH","Vertikaler Bildwinkelbereich: 19,8° - 8,8°","Vertical range of FoV: 19,8° - 8,8°")</f>
        <v>Vertikaler Bildwinkelbereich: 19,8° - 8,8°</v>
      </c>
      <c r="J29" s="59"/>
    </row>
    <row r="30" spans="2:10" x14ac:dyDescent="0.2">
      <c r="B30" s="60"/>
      <c r="E30" s="59"/>
      <c r="F30" s="90"/>
      <c r="G30" s="60"/>
      <c r="J30" s="59"/>
    </row>
    <row r="31" spans="2:10" ht="19" x14ac:dyDescent="0.2">
      <c r="B31" s="61" t="str">
        <f>IF(H1="DEUTSCH","Zoomlevel auswählen:","Select zoom level:")</f>
        <v>Zoomlevel auswählen:</v>
      </c>
      <c r="E31" s="59"/>
      <c r="F31" s="90"/>
      <c r="G31" s="61" t="str">
        <f>IF(H1="DEUTSCH","Zoomlevel auswählen:","Select zoom level:")</f>
        <v>Zoomlevel auswählen:</v>
      </c>
      <c r="J31" s="59"/>
    </row>
    <row r="32" spans="2:10" x14ac:dyDescent="0.2">
      <c r="B32" s="60"/>
      <c r="E32" s="59"/>
      <c r="F32" s="90"/>
      <c r="G32" s="60"/>
      <c r="J32" s="59"/>
    </row>
    <row r="33" spans="2:10" ht="19" x14ac:dyDescent="0.25">
      <c r="B33" s="58" t="str">
        <f>IF(H1="DEUTSCH","Aktueller Zoomlevel:","Actual zoom level:")</f>
        <v>Aktueller Zoomlevel:</v>
      </c>
      <c r="C33" s="56">
        <v>0</v>
      </c>
      <c r="D33" s="56" t="s">
        <v>45</v>
      </c>
      <c r="E33" s="59"/>
      <c r="F33" s="94"/>
      <c r="G33" s="58" t="str">
        <f>IF(H1="DEUTSCH","Aktueller Zoomlevel:","Actual zoom level:")</f>
        <v>Aktueller Zoomlevel:</v>
      </c>
      <c r="H33" s="56">
        <v>0</v>
      </c>
      <c r="I33" s="56" t="s">
        <v>45</v>
      </c>
      <c r="J33" s="59"/>
    </row>
    <row r="34" spans="2:10" ht="19" x14ac:dyDescent="0.25">
      <c r="B34" s="58" t="str">
        <f>IF(H1="DEUTSCH","Aktueller horizontaler Bildwinkel:","Actual horizontal FoV:")</f>
        <v>Aktueller horizontaler Bildwinkel:</v>
      </c>
      <c r="C34" s="56">
        <f>102.1-(C33*0.706)</f>
        <v>102.1</v>
      </c>
      <c r="D34" s="56" t="s">
        <v>44</v>
      </c>
      <c r="E34" s="59"/>
      <c r="F34" s="94"/>
      <c r="G34" s="58" t="str">
        <f>IF(H1="DEUTSCH","Akt. hor Bildwinkel:","Act. horizontal FoV:")</f>
        <v>Akt. hor Bildwinkel:</v>
      </c>
      <c r="H34" s="56">
        <f>36.1-(H33*0.207)</f>
        <v>36.1</v>
      </c>
      <c r="I34" s="56" t="s">
        <v>44</v>
      </c>
      <c r="J34" s="59"/>
    </row>
    <row r="35" spans="2:10" ht="22" x14ac:dyDescent="0.3">
      <c r="B35" s="58" t="str">
        <f>IF(H1="DEUTSCH","Aktueller vertikaler Bildwinkel:","Actual vertical FoV:")</f>
        <v>Aktueller vertikaler Bildwinkel:</v>
      </c>
      <c r="C35" s="56">
        <f>70.3-(C33*0.476)</f>
        <v>70.3</v>
      </c>
      <c r="D35" s="3" t="s">
        <v>44</v>
      </c>
      <c r="E35" s="59"/>
      <c r="F35" s="94"/>
      <c r="G35" s="58" t="str">
        <f>IF(H1="DEUTSCH","Akt. vert Bildwinkel:","Act. vertical FoV:")</f>
        <v>Akt. vert Bildwinkel:</v>
      </c>
      <c r="H35" s="56">
        <f>19.8-(H33*0.11)</f>
        <v>19.8</v>
      </c>
      <c r="I35" s="3" t="s">
        <v>44</v>
      </c>
      <c r="J35" s="59"/>
    </row>
    <row r="36" spans="2:10" x14ac:dyDescent="0.2">
      <c r="B36" s="60"/>
      <c r="E36" s="59"/>
      <c r="F36" s="90"/>
      <c r="G36" s="60"/>
      <c r="J36" s="59"/>
    </row>
    <row r="37" spans="2:10" x14ac:dyDescent="0.2">
      <c r="B37" s="70"/>
      <c r="C37" s="146" t="str">
        <f>IF(H1="DEUTSCH","Entfernungsbereich","Distance range")</f>
        <v>Entfernungsbereich</v>
      </c>
      <c r="D37" s="108"/>
      <c r="E37" s="54"/>
      <c r="F37" s="84"/>
      <c r="G37" s="70"/>
      <c r="H37" s="146" t="str">
        <f>IF(H1="DEUTSCH","Entfernungsbereich","Distance range")</f>
        <v>Entfernungsbereich</v>
      </c>
      <c r="I37" s="108"/>
      <c r="J37" s="54"/>
    </row>
    <row r="38" spans="2:10" ht="17" x14ac:dyDescent="0.2">
      <c r="B38" s="72"/>
      <c r="C38" s="73" t="str">
        <f>IF(H1="DEUTSCH","Mindestdistanz (m)","Minimum distance (m)")</f>
        <v>Mindestdistanz (m)</v>
      </c>
      <c r="D38" s="73" t="str">
        <f>IF(H1="DEUTSCH","Maximaldistanz (m)","Maximum distance (m)")</f>
        <v>Maximaldistanz (m)</v>
      </c>
      <c r="E38" s="74"/>
      <c r="F38" s="91"/>
      <c r="G38" s="72"/>
      <c r="H38" s="73" t="str">
        <f>IF(H1="DEUTSCH","Mindestdistanz (m)","Minimum distance (m)")</f>
        <v>Mindestdistanz (m)</v>
      </c>
      <c r="I38" s="73" t="str">
        <f>IF(H1="DEUTSCH","Maximaldistanz (m)","Maximum distance (m)")</f>
        <v>Maximaldistanz (m)</v>
      </c>
      <c r="J38" s="74"/>
    </row>
    <row r="39" spans="2:10" x14ac:dyDescent="0.2">
      <c r="B39" s="60"/>
      <c r="D39" s="42"/>
      <c r="E39" s="95"/>
      <c r="F39" s="92"/>
      <c r="G39" s="60"/>
      <c r="I39" s="42"/>
      <c r="J39" s="95"/>
    </row>
    <row r="40" spans="2:10" x14ac:dyDescent="0.2">
      <c r="B40" s="70" t="s">
        <v>52</v>
      </c>
      <c r="C40" s="97">
        <f>480*Ch/(2*TAN(RADIANS(C35/2))*Pmax)</f>
        <v>0.3651994179931799</v>
      </c>
      <c r="D40" s="97">
        <f>480*Ch/(2*TAN(RADIANS(C35/2))*Pmin)</f>
        <v>1.8259970899658995</v>
      </c>
      <c r="E40" s="96"/>
      <c r="F40" s="92"/>
      <c r="G40" s="70" t="s">
        <v>52</v>
      </c>
      <c r="H40" s="97">
        <f>480*Ch/(2*TAN(RADIANS(H35/2))*Pmax)</f>
        <v>1.4733621377291093</v>
      </c>
      <c r="I40" s="97">
        <f>480*Ch/(2*TAN(RADIANS(H35/2))*Pmin)</f>
        <v>7.366810688645546</v>
      </c>
      <c r="J40" s="96"/>
    </row>
    <row r="41" spans="2:10" x14ac:dyDescent="0.2">
      <c r="B41" s="60" t="s">
        <v>53</v>
      </c>
      <c r="C41" s="98">
        <f>480*Ch/(2*TAN(RADIANS(C35/2))*Pmax)</f>
        <v>0.3651994179931799</v>
      </c>
      <c r="D41" s="98">
        <f>480*Ch/(2*TAN(RADIANS(C35/2))*Pmin)</f>
        <v>1.8259970899658995</v>
      </c>
      <c r="E41" s="95"/>
      <c r="F41" s="92"/>
      <c r="G41" s="60" t="s">
        <v>53</v>
      </c>
      <c r="H41" s="98">
        <f>480*Ch/(2*TAN(RADIANS(H35/2))*Pmax)</f>
        <v>1.4733621377291093</v>
      </c>
      <c r="I41" s="98">
        <f>480*Ch/(2*TAN(RADIANS(H35/2))*Pmin)</f>
        <v>7.366810688645546</v>
      </c>
      <c r="J41" s="95"/>
    </row>
    <row r="42" spans="2:10" x14ac:dyDescent="0.2">
      <c r="B42" s="70" t="s">
        <v>29</v>
      </c>
      <c r="C42" s="97">
        <f>600*Ch/(2*TAN(RADIANS(C35/2))*Pmax)</f>
        <v>0.45649927249147487</v>
      </c>
      <c r="D42" s="97">
        <f>600*Ch/(2*TAN(RADIANS(C35/2))*Pmin)</f>
        <v>2.2824963624573744</v>
      </c>
      <c r="E42" s="96"/>
      <c r="F42" s="92"/>
      <c r="G42" s="70" t="s">
        <v>29</v>
      </c>
      <c r="H42" s="97">
        <f>600*Ch/(2*TAN(RADIANS(H35/2))*Pmax)</f>
        <v>1.8417026721613865</v>
      </c>
      <c r="I42" s="97">
        <f>600*Ch/(2*TAN(RADIANS(H35/2))*Pmin)</f>
        <v>9.2085133608069327</v>
      </c>
      <c r="J42" s="96"/>
    </row>
    <row r="43" spans="2:10" x14ac:dyDescent="0.2">
      <c r="B43" s="60" t="s">
        <v>30</v>
      </c>
      <c r="C43" s="98">
        <f>768*Ch/(2*TAN(RADIANS(C35/2))*Pmax)</f>
        <v>0.58431906878908779</v>
      </c>
      <c r="D43" s="98">
        <f>768*Ch/(2*TAN(RADIANS(C35/2))*Pmin)</f>
        <v>2.9215953439454387</v>
      </c>
      <c r="E43" s="95"/>
      <c r="F43" s="92"/>
      <c r="G43" s="60" t="s">
        <v>30</v>
      </c>
      <c r="H43" s="98">
        <f>768*Ch/(2*TAN(RADIANS(H35/2))*Pmax)</f>
        <v>2.3573794203665748</v>
      </c>
      <c r="I43" s="98">
        <f>768*Ch/(2*TAN(RADIANS(H35/2))*Pmin)</f>
        <v>11.786897101832873</v>
      </c>
      <c r="J43" s="95"/>
    </row>
    <row r="44" spans="2:10" x14ac:dyDescent="0.2">
      <c r="B44" s="70" t="s">
        <v>31</v>
      </c>
      <c r="C44" s="97">
        <f>720*Ch/(2*TAN(RADIANS(C35/2))*Pmax)</f>
        <v>0.54779912698976985</v>
      </c>
      <c r="D44" s="97">
        <f>720*Ch/(2*TAN(RADIANS(C35/2))*Pmin)</f>
        <v>2.7389956349488491</v>
      </c>
      <c r="E44" s="96"/>
      <c r="F44" s="92"/>
      <c r="G44" s="70" t="s">
        <v>31</v>
      </c>
      <c r="H44" s="97">
        <f>720*Ch/(2*TAN(RADIANS(H35/2))*Pmax)</f>
        <v>2.2100432065936637</v>
      </c>
      <c r="I44" s="97">
        <f>720*Ch/(2*TAN(RADIANS(H35/2))*Pmin)</f>
        <v>11.05021603296832</v>
      </c>
      <c r="J44" s="96"/>
    </row>
    <row r="45" spans="2:10" x14ac:dyDescent="0.2">
      <c r="B45" s="60" t="s">
        <v>54</v>
      </c>
      <c r="C45" s="98">
        <f>1024*Ch/(2*TAN(RADIANS(C35/2))*Pmax)</f>
        <v>0.77909209171878369</v>
      </c>
      <c r="D45" s="98">
        <f>1024*Ch/(2*TAN(RADIANS(C35/2))*Pmin)</f>
        <v>3.8954604585939188</v>
      </c>
      <c r="E45" s="95"/>
      <c r="F45" s="92"/>
      <c r="G45" s="60" t="s">
        <v>54</v>
      </c>
      <c r="H45" s="98">
        <f>1024*Ch/(2*TAN(RADIANS(H35/2))*Pmax)</f>
        <v>3.1431725604887664</v>
      </c>
      <c r="I45" s="98">
        <f>1024*Ch/(2*TAN(RADIANS(H35/2))*Pmin)</f>
        <v>15.715862802443832</v>
      </c>
      <c r="J45" s="95"/>
    </row>
    <row r="46" spans="2:10" x14ac:dyDescent="0.2">
      <c r="B46" s="70" t="s">
        <v>33</v>
      </c>
      <c r="C46" s="97">
        <f>1080*Ch/(2*TAN(RADIANS(C35/2))*Pmax)</f>
        <v>0.82169869048465471</v>
      </c>
      <c r="D46" s="97">
        <f>1080*Ch/(2*TAN(RADIANS(C35/2))*Pmin)</f>
        <v>4.1084934524232741</v>
      </c>
      <c r="E46" s="96"/>
      <c r="F46" s="92"/>
      <c r="G46" s="70" t="s">
        <v>33</v>
      </c>
      <c r="H46" s="97">
        <f>1080*Ch/(2*TAN(RADIANS(H35/2))*Pmax)</f>
        <v>3.315064809890496</v>
      </c>
      <c r="I46" s="97">
        <f>1080*Ch/(2*TAN(RADIANS(H35/2))*Pmin)</f>
        <v>16.57532404945248</v>
      </c>
      <c r="J46" s="96"/>
    </row>
    <row r="47" spans="2:10" x14ac:dyDescent="0.2">
      <c r="B47" s="62"/>
      <c r="C47" s="63"/>
      <c r="D47" s="63"/>
      <c r="E47" s="64"/>
      <c r="F47" s="90"/>
      <c r="G47" s="62"/>
      <c r="H47" s="63"/>
      <c r="I47" s="63"/>
      <c r="J47" s="64"/>
    </row>
  </sheetData>
  <mergeCells count="2">
    <mergeCell ref="C37:D37"/>
    <mergeCell ref="H37:I37"/>
  </mergeCells>
  <dataValidations count="1">
    <dataValidation type="list" allowBlank="1" showInputMessage="1" showErrorMessage="1" sqref="H1" xr:uid="{7E03CEC4-6695-0649-9837-B11FF052429D}">
      <formula1>"DEUTSCH,ENGLISH"</formula1>
    </dataValidation>
  </dataValidations>
  <pageMargins left="0.7" right="0.7" top="0.78740157499999996" bottom="0.78740157499999996" header="0.3" footer="0.3"/>
  <pageSetup paperSize="9" orientation="portrait" horizontalDpi="0" verticalDpi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2</xdr:col>
                    <xdr:colOff>419100</xdr:colOff>
                    <xdr:row>9</xdr:row>
                    <xdr:rowOff>190500</xdr:rowOff>
                  </from>
                  <to>
                    <xdr:col>2</xdr:col>
                    <xdr:colOff>1397000</xdr:colOff>
                    <xdr:row>11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3</xdr:col>
                    <xdr:colOff>330200</xdr:colOff>
                    <xdr:row>9</xdr:row>
                    <xdr:rowOff>190500</xdr:rowOff>
                  </from>
                  <to>
                    <xdr:col>3</xdr:col>
                    <xdr:colOff>1231900</xdr:colOff>
                    <xdr:row>11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Option Button 3">
              <controlPr defaultSize="0" autoFill="0" autoLine="0" autoPict="0">
                <anchor moveWithCells="1">
                  <from>
                    <xdr:col>4</xdr:col>
                    <xdr:colOff>444500</xdr:colOff>
                    <xdr:row>9</xdr:row>
                    <xdr:rowOff>190500</xdr:rowOff>
                  </from>
                  <to>
                    <xdr:col>4</xdr:col>
                    <xdr:colOff>1384300</xdr:colOff>
                    <xdr:row>11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6" name="Option Button 4">
              <controlPr defaultSize="0" autoFill="0" autoLine="0" autoPict="0">
                <anchor moveWithCells="1">
                  <from>
                    <xdr:col>5</xdr:col>
                    <xdr:colOff>469900</xdr:colOff>
                    <xdr:row>9</xdr:row>
                    <xdr:rowOff>190500</xdr:rowOff>
                  </from>
                  <to>
                    <xdr:col>5</xdr:col>
                    <xdr:colOff>1295400</xdr:colOff>
                    <xdr:row>11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7" name="Option Button 5">
              <controlPr defaultSize="0" autoFill="0" autoLine="0" autoPict="0">
                <anchor moveWithCells="1">
                  <from>
                    <xdr:col>6</xdr:col>
                    <xdr:colOff>444500</xdr:colOff>
                    <xdr:row>9</xdr:row>
                    <xdr:rowOff>190500</xdr:rowOff>
                  </from>
                  <to>
                    <xdr:col>6</xdr:col>
                    <xdr:colOff>1308100</xdr:colOff>
                    <xdr:row>11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8" name="Option Button 6">
              <controlPr defaultSize="0" autoFill="0" autoLine="0" autoPict="0">
                <anchor moveWithCells="1">
                  <from>
                    <xdr:col>7</xdr:col>
                    <xdr:colOff>381000</xdr:colOff>
                    <xdr:row>9</xdr:row>
                    <xdr:rowOff>177800</xdr:rowOff>
                  </from>
                  <to>
                    <xdr:col>7</xdr:col>
                    <xdr:colOff>1231900</xdr:colOff>
                    <xdr:row>11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9" name="Option Button 9">
              <controlPr defaultSize="0" autoFill="0" autoLine="0" autoPict="0">
                <anchor moveWithCells="1">
                  <from>
                    <xdr:col>8</xdr:col>
                    <xdr:colOff>419100</xdr:colOff>
                    <xdr:row>9</xdr:row>
                    <xdr:rowOff>190500</xdr:rowOff>
                  </from>
                  <to>
                    <xdr:col>8</xdr:col>
                    <xdr:colOff>1270000</xdr:colOff>
                    <xdr:row>11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0" name="Scroll Bar 10">
              <controlPr defaultSize="0" autoPict="0">
                <anchor moveWithCells="1">
                  <from>
                    <xdr:col>2</xdr:col>
                    <xdr:colOff>304800</xdr:colOff>
                    <xdr:row>29</xdr:row>
                    <xdr:rowOff>177800</xdr:rowOff>
                  </from>
                  <to>
                    <xdr:col>4</xdr:col>
                    <xdr:colOff>254000</xdr:colOff>
                    <xdr:row>31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1" name="Scroll Bar 11">
              <controlPr defaultSize="0" autoPict="0">
                <anchor moveWithCells="1">
                  <from>
                    <xdr:col>7</xdr:col>
                    <xdr:colOff>787400</xdr:colOff>
                    <xdr:row>29</xdr:row>
                    <xdr:rowOff>165100</xdr:rowOff>
                  </from>
                  <to>
                    <xdr:col>9</xdr:col>
                    <xdr:colOff>736600</xdr:colOff>
                    <xdr:row>31</xdr:row>
                    <xdr:rowOff>88900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IEC 62676-4 2024</vt:lpstr>
      <vt:lpstr>ActivitySensorONE</vt:lpstr>
      <vt:lpstr>License Plate Recognition</vt:lpstr>
      <vt:lpstr>Ch</vt:lpstr>
      <vt:lpstr>LG</vt:lpstr>
      <vt:lpstr>Pmax</vt:lpstr>
      <vt:lpstr>Pmin</vt:lpstr>
    </vt:vector>
  </TitlesOfParts>
  <Manager/>
  <Company>MOBOTIX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Lens_Selection_Tool</dc:title>
  <dc:subject>MOBOTIX Camera Lens Selection</dc:subject>
  <dc:creator>Thomas Gladel</dc:creator>
  <cp:keywords/>
  <dc:description/>
  <cp:lastModifiedBy>Thomas Gladel</cp:lastModifiedBy>
  <dcterms:created xsi:type="dcterms:W3CDTF">2025-08-12T06:09:55Z</dcterms:created>
  <dcterms:modified xsi:type="dcterms:W3CDTF">2025-10-02T12:50:51Z</dcterms:modified>
  <cp:category>Planungshilfe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bteilung">
    <vt:lpwstr>MOBOTIX Campus</vt:lpwstr>
  </property>
  <property fmtid="{D5CDD505-2E9C-101B-9397-08002B2CF9AE}" pid="3" name="Eigentümer">
    <vt:lpwstr>Thomas Gladel</vt:lpwstr>
  </property>
  <property fmtid="{D5CDD505-2E9C-101B-9397-08002B2CF9AE}" pid="4" name="Erstellt von">
    <vt:lpwstr>Thomas Gladel</vt:lpwstr>
  </property>
</Properties>
</file>